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ватель\Documents\DOCUMENT\Проекты\Промгруппа\Контент\28-11-19\"/>
    </mc:Choice>
  </mc:AlternateContent>
  <bookViews>
    <workbookView xWindow="6150" yWindow="20820" windowWidth="15450" windowHeight="9675" tabRatio="599"/>
  </bookViews>
  <sheets>
    <sheet name="Лист2" sheetId="3805" r:id="rId1"/>
  </sheets>
  <definedNames>
    <definedName name="_xlnm._FilterDatabase" localSheetId="0" hidden="1">Лист2!$A$8:$F$580</definedName>
  </definedNames>
  <calcPr calcId="162913"/>
  <fileRecoveryPr autoRecover="0"/>
</workbook>
</file>

<file path=xl/calcChain.xml><?xml version="1.0" encoding="utf-8"?>
<calcChain xmlns="http://schemas.openxmlformats.org/spreadsheetml/2006/main">
  <c r="E580" i="3805" l="1"/>
  <c r="E579" i="3805"/>
  <c r="E578" i="3805"/>
  <c r="E577" i="3805"/>
  <c r="E575" i="3805"/>
  <c r="E574" i="3805"/>
  <c r="E571" i="3805"/>
  <c r="E570" i="3805"/>
  <c r="E569" i="3805"/>
  <c r="E568" i="3805"/>
  <c r="E562" i="3805"/>
  <c r="E556" i="3805"/>
  <c r="E548" i="3805"/>
  <c r="E547" i="3805"/>
  <c r="E546" i="3805"/>
  <c r="E544" i="3805"/>
  <c r="E543" i="3805"/>
  <c r="E542" i="3805"/>
  <c r="E541" i="3805"/>
  <c r="E540" i="3805"/>
  <c r="E538" i="3805"/>
  <c r="E529" i="3805"/>
  <c r="E528" i="3805"/>
  <c r="E527" i="3805"/>
  <c r="E525" i="3805"/>
  <c r="E524" i="3805"/>
  <c r="E522" i="3805"/>
  <c r="E521" i="3805"/>
  <c r="E520" i="3805"/>
  <c r="E519" i="3805"/>
  <c r="E517" i="3805"/>
  <c r="E516" i="3805"/>
  <c r="E515" i="3805"/>
  <c r="E514" i="3805"/>
  <c r="E513" i="3805"/>
  <c r="E512" i="3805"/>
  <c r="E511" i="3805"/>
  <c r="E510" i="3805"/>
  <c r="E509" i="3805"/>
  <c r="E507" i="3805"/>
  <c r="E506" i="3805"/>
  <c r="E505" i="3805"/>
  <c r="E504" i="3805"/>
  <c r="E503" i="3805"/>
  <c r="E502" i="3805"/>
  <c r="E501" i="3805"/>
  <c r="E500" i="3805"/>
  <c r="E499" i="3805"/>
  <c r="E498" i="3805"/>
  <c r="E497" i="3805"/>
  <c r="E496" i="3805"/>
  <c r="E495" i="3805"/>
  <c r="E494" i="3805"/>
  <c r="E493" i="3805"/>
  <c r="E492" i="3805"/>
  <c r="E491" i="3805"/>
  <c r="E490" i="3805"/>
  <c r="E489" i="3805"/>
  <c r="E488" i="3805"/>
  <c r="E487" i="3805"/>
  <c r="E484" i="3805"/>
  <c r="E483" i="3805"/>
  <c r="E482" i="3805"/>
  <c r="E481" i="3805"/>
  <c r="E480" i="3805"/>
  <c r="E479" i="3805"/>
  <c r="E478" i="3805"/>
  <c r="E477" i="3805"/>
  <c r="E476" i="3805"/>
  <c r="E475" i="3805"/>
  <c r="E474" i="3805"/>
  <c r="E472" i="3805"/>
  <c r="E471" i="3805"/>
  <c r="E470" i="3805"/>
  <c r="E469" i="3805"/>
  <c r="E467" i="3805"/>
  <c r="E464" i="3805"/>
  <c r="E463" i="3805"/>
  <c r="E462" i="3805"/>
  <c r="E460" i="3805"/>
  <c r="E459" i="3805"/>
  <c r="E458" i="3805"/>
  <c r="E457" i="3805"/>
  <c r="E456" i="3805"/>
  <c r="E455" i="3805"/>
  <c r="E454" i="3805"/>
  <c r="E453" i="3805"/>
  <c r="E452" i="3805"/>
  <c r="E451" i="3805"/>
  <c r="E450" i="3805"/>
  <c r="E449" i="3805"/>
  <c r="E448" i="3805"/>
  <c r="E426" i="3805"/>
  <c r="E427" i="3805"/>
  <c r="E428" i="3805"/>
  <c r="E429" i="3805"/>
  <c r="E430" i="3805"/>
  <c r="E431" i="3805"/>
  <c r="E432" i="3805"/>
  <c r="E433" i="3805"/>
  <c r="E434" i="3805"/>
  <c r="E435" i="3805"/>
  <c r="E436" i="3805"/>
  <c r="E437" i="3805"/>
  <c r="E438" i="3805"/>
  <c r="E439" i="3805"/>
  <c r="E440" i="3805"/>
  <c r="E441" i="3805"/>
  <c r="E442" i="3805"/>
  <c r="E443" i="3805"/>
  <c r="E444" i="3805"/>
  <c r="E445" i="3805"/>
  <c r="E446" i="3805"/>
  <c r="E447" i="3805"/>
  <c r="E269" i="3805"/>
  <c r="E272" i="3805"/>
  <c r="E273" i="3805"/>
  <c r="E274" i="3805"/>
  <c r="E275" i="3805"/>
  <c r="E276" i="3805"/>
  <c r="E277" i="3805"/>
  <c r="E278" i="3805"/>
  <c r="E279" i="3805"/>
  <c r="E280" i="3805"/>
  <c r="E281" i="3805"/>
  <c r="E282" i="3805"/>
  <c r="E283" i="3805"/>
  <c r="E284" i="3805"/>
  <c r="E285" i="3805"/>
  <c r="E286" i="3805"/>
  <c r="E287" i="3805"/>
  <c r="E289" i="3805"/>
  <c r="E290" i="3805"/>
  <c r="E291" i="3805"/>
  <c r="E292" i="3805"/>
  <c r="E293" i="3805"/>
  <c r="E294" i="3805"/>
  <c r="E295" i="3805"/>
  <c r="E296" i="3805"/>
  <c r="E297" i="3805"/>
  <c r="E298" i="3805"/>
  <c r="E299" i="3805"/>
  <c r="E300" i="3805"/>
  <c r="E301" i="3805"/>
  <c r="E302" i="3805"/>
  <c r="E303" i="3805"/>
  <c r="E304" i="3805"/>
  <c r="E306" i="3805"/>
  <c r="E307" i="3805"/>
  <c r="E308" i="3805"/>
  <c r="E309" i="3805"/>
  <c r="E310" i="3805"/>
  <c r="E311" i="3805"/>
  <c r="E312" i="3805"/>
  <c r="E313" i="3805"/>
  <c r="E314" i="3805"/>
  <c r="E315" i="3805"/>
  <c r="E316" i="3805"/>
  <c r="E317" i="3805"/>
  <c r="E318" i="3805"/>
  <c r="E319" i="3805"/>
  <c r="E320" i="3805"/>
  <c r="E321" i="3805"/>
  <c r="E322" i="3805"/>
  <c r="E323" i="3805"/>
  <c r="E324" i="3805"/>
  <c r="E325" i="3805"/>
  <c r="E326" i="3805"/>
  <c r="E327" i="3805"/>
  <c r="E328" i="3805"/>
  <c r="E329" i="3805"/>
  <c r="E330" i="3805"/>
  <c r="E331" i="3805"/>
  <c r="E332" i="3805"/>
  <c r="E333" i="3805"/>
  <c r="E334" i="3805"/>
  <c r="E335" i="3805"/>
  <c r="E336" i="3805"/>
  <c r="E337" i="3805"/>
  <c r="E338" i="3805"/>
  <c r="E339" i="3805"/>
  <c r="E340" i="3805"/>
  <c r="E341" i="3805"/>
  <c r="E342" i="3805"/>
  <c r="E343" i="3805"/>
  <c r="E344" i="3805"/>
  <c r="E345" i="3805"/>
  <c r="E346" i="3805"/>
  <c r="E348" i="3805"/>
  <c r="E349" i="3805"/>
  <c r="E350" i="3805"/>
  <c r="E351" i="3805"/>
  <c r="E352" i="3805"/>
  <c r="E353" i="3805"/>
  <c r="E354" i="3805"/>
  <c r="E355" i="3805"/>
  <c r="E356" i="3805"/>
  <c r="E357" i="3805"/>
  <c r="E358" i="3805"/>
  <c r="E359" i="3805"/>
  <c r="E360" i="3805"/>
  <c r="E361" i="3805"/>
  <c r="E362" i="3805"/>
  <c r="E363" i="3805"/>
  <c r="E364" i="3805"/>
  <c r="E365" i="3805"/>
  <c r="E366" i="3805"/>
  <c r="E367" i="3805"/>
  <c r="E368" i="3805"/>
  <c r="E369" i="3805"/>
  <c r="E370" i="3805"/>
  <c r="E371" i="3805"/>
  <c r="E372" i="3805"/>
  <c r="E373" i="3805"/>
  <c r="E374" i="3805"/>
  <c r="E375" i="3805"/>
  <c r="E376" i="3805"/>
  <c r="E377" i="3805"/>
  <c r="E378" i="3805"/>
  <c r="E379" i="3805"/>
  <c r="E380" i="3805"/>
  <c r="E381" i="3805"/>
  <c r="E382" i="3805"/>
  <c r="E383" i="3805"/>
  <c r="E384" i="3805"/>
  <c r="E385" i="3805"/>
  <c r="E386" i="3805"/>
  <c r="E387" i="3805"/>
  <c r="E389" i="3805"/>
  <c r="E390" i="3805"/>
  <c r="E391" i="3805"/>
  <c r="E392" i="3805"/>
  <c r="E393" i="3805"/>
  <c r="E394" i="3805"/>
  <c r="E395" i="3805"/>
  <c r="E396" i="3805"/>
  <c r="E397" i="3805"/>
  <c r="E398" i="3805"/>
  <c r="E399" i="3805"/>
  <c r="E400" i="3805"/>
  <c r="E401" i="3805"/>
  <c r="E402" i="3805"/>
  <c r="E403" i="3805"/>
  <c r="E404" i="3805"/>
  <c r="E405" i="3805"/>
  <c r="E406" i="3805"/>
  <c r="E407" i="3805"/>
  <c r="E408" i="3805"/>
  <c r="E409" i="3805"/>
  <c r="E410" i="3805"/>
  <c r="E411" i="3805"/>
  <c r="E412" i="3805"/>
  <c r="E413" i="3805"/>
  <c r="E414" i="3805"/>
  <c r="E415" i="3805"/>
  <c r="E416" i="3805"/>
  <c r="E417" i="3805"/>
  <c r="E418" i="3805"/>
  <c r="E419" i="3805"/>
  <c r="E421" i="3805"/>
  <c r="E422" i="3805"/>
  <c r="E423" i="3805"/>
  <c r="E424" i="3805"/>
  <c r="E266" i="3805"/>
  <c r="E267" i="3805"/>
  <c r="E268" i="3805"/>
  <c r="E265" i="3805"/>
  <c r="E264" i="3805"/>
  <c r="E263" i="3805"/>
  <c r="E262" i="3805"/>
  <c r="E261" i="3805"/>
  <c r="E260" i="3805"/>
  <c r="E259" i="3805"/>
  <c r="E258" i="3805"/>
  <c r="E257" i="3805"/>
  <c r="E256" i="3805"/>
  <c r="E255" i="3805"/>
  <c r="E254" i="3805"/>
  <c r="E253" i="3805"/>
  <c r="E252" i="3805"/>
  <c r="E251" i="3805"/>
  <c r="E250" i="3805"/>
  <c r="E249" i="3805"/>
  <c r="E248" i="3805"/>
  <c r="E247" i="3805"/>
  <c r="E246" i="3805"/>
  <c r="E244" i="3805"/>
  <c r="E243" i="3805"/>
  <c r="E242" i="3805"/>
  <c r="E241" i="3805"/>
  <c r="E240" i="3805"/>
  <c r="E239" i="3805"/>
  <c r="E238" i="3805"/>
  <c r="E237" i="3805"/>
  <c r="E236" i="3805"/>
  <c r="E235" i="3805"/>
  <c r="E234" i="3805"/>
  <c r="E233" i="3805"/>
  <c r="E232" i="3805"/>
  <c r="E231" i="3805"/>
  <c r="E230" i="3805"/>
  <c r="E229" i="3805"/>
  <c r="E228" i="3805"/>
  <c r="E227" i="3805"/>
  <c r="E226" i="3805"/>
  <c r="E225" i="3805"/>
  <c r="E224" i="3805"/>
  <c r="E223" i="3805"/>
  <c r="E222" i="3805"/>
  <c r="E221" i="3805"/>
  <c r="E220" i="3805"/>
  <c r="E219" i="3805"/>
  <c r="E218" i="3805"/>
  <c r="E217" i="3805"/>
  <c r="E216" i="3805"/>
  <c r="E215" i="3805"/>
  <c r="E214" i="3805"/>
  <c r="E213" i="3805"/>
  <c r="E212" i="3805"/>
  <c r="E211" i="3805"/>
  <c r="E210" i="3805"/>
  <c r="E209" i="3805"/>
  <c r="E207" i="3805"/>
  <c r="E205" i="3805"/>
  <c r="E204" i="3805"/>
  <c r="E203" i="3805"/>
  <c r="E202" i="3805"/>
  <c r="E201" i="3805"/>
  <c r="E200" i="3805"/>
  <c r="E199" i="3805"/>
  <c r="E198" i="3805"/>
  <c r="E197" i="3805"/>
  <c r="E196" i="3805"/>
  <c r="E195" i="3805"/>
  <c r="E194" i="3805"/>
  <c r="E193" i="3805"/>
  <c r="E192" i="3805"/>
  <c r="E191" i="3805"/>
  <c r="E190" i="3805"/>
  <c r="E189" i="3805"/>
  <c r="E188" i="3805"/>
  <c r="E116" i="3805"/>
  <c r="E117" i="3805"/>
  <c r="E118" i="3805"/>
  <c r="E119" i="3805"/>
  <c r="E120" i="3805"/>
  <c r="E121" i="3805"/>
  <c r="E122" i="3805"/>
  <c r="E123" i="3805"/>
  <c r="E124" i="3805"/>
  <c r="E125" i="3805"/>
  <c r="E126" i="3805"/>
  <c r="E127" i="3805"/>
  <c r="E128" i="3805"/>
  <c r="E129" i="3805"/>
  <c r="E130" i="3805"/>
  <c r="E131" i="3805"/>
  <c r="E132" i="3805"/>
  <c r="E133" i="3805"/>
  <c r="E134" i="3805"/>
  <c r="E135" i="3805"/>
  <c r="E136" i="3805"/>
  <c r="E137" i="3805"/>
  <c r="E138" i="3805"/>
  <c r="E139" i="3805"/>
  <c r="E141" i="3805"/>
  <c r="E142" i="3805"/>
  <c r="E143" i="3805"/>
  <c r="E144" i="3805"/>
  <c r="E145" i="3805"/>
  <c r="E146" i="3805"/>
  <c r="E147" i="3805"/>
  <c r="E148" i="3805"/>
  <c r="E149" i="3805"/>
  <c r="E150" i="3805"/>
  <c r="E151" i="3805"/>
  <c r="E152" i="3805"/>
  <c r="E153" i="3805"/>
  <c r="E154" i="3805"/>
  <c r="E155" i="3805"/>
  <c r="E156" i="3805"/>
  <c r="E157" i="3805"/>
  <c r="E158" i="3805"/>
  <c r="E159" i="3805"/>
  <c r="E160" i="3805"/>
  <c r="E161" i="3805"/>
  <c r="E162" i="3805"/>
  <c r="E163" i="3805"/>
  <c r="E164" i="3805"/>
  <c r="E165" i="3805"/>
  <c r="E167" i="3805"/>
  <c r="E168" i="3805"/>
  <c r="E169" i="3805"/>
  <c r="E170" i="3805"/>
  <c r="E171" i="3805"/>
  <c r="E172" i="3805"/>
  <c r="E173" i="3805"/>
  <c r="E174" i="3805"/>
  <c r="E175" i="3805"/>
  <c r="E176" i="3805"/>
  <c r="E177" i="3805"/>
  <c r="E178" i="3805"/>
  <c r="E179" i="3805"/>
  <c r="E180" i="3805"/>
  <c r="E181" i="3805"/>
  <c r="E182" i="3805"/>
  <c r="E183" i="3805"/>
  <c r="E184" i="3805"/>
  <c r="E185" i="3805"/>
  <c r="E186" i="3805"/>
  <c r="E187" i="3805"/>
  <c r="E81" i="3805"/>
  <c r="E82" i="3805"/>
  <c r="E83" i="3805"/>
  <c r="E84" i="3805"/>
  <c r="E85" i="3805"/>
  <c r="E86" i="3805"/>
  <c r="E87" i="3805"/>
  <c r="E88" i="3805"/>
  <c r="E89" i="3805"/>
  <c r="E90" i="3805"/>
  <c r="E91" i="3805"/>
  <c r="E92" i="3805"/>
  <c r="E93" i="3805"/>
  <c r="E94" i="3805"/>
  <c r="E95" i="3805"/>
  <c r="E96" i="3805"/>
  <c r="E97" i="3805"/>
  <c r="E98" i="3805"/>
  <c r="E99" i="3805"/>
  <c r="E100" i="3805"/>
  <c r="E101" i="3805"/>
  <c r="E102" i="3805"/>
  <c r="E103" i="3805"/>
  <c r="E104" i="3805"/>
  <c r="E105" i="3805"/>
  <c r="E106" i="3805"/>
  <c r="E107" i="3805"/>
  <c r="E108" i="3805"/>
  <c r="E109" i="3805"/>
  <c r="E110" i="3805"/>
  <c r="E111" i="3805"/>
  <c r="E112" i="3805"/>
  <c r="E113" i="3805"/>
  <c r="E114" i="3805"/>
  <c r="E115" i="3805"/>
  <c r="E80" i="3805"/>
  <c r="E79" i="3805"/>
  <c r="E78" i="3805"/>
  <c r="E77" i="3805"/>
  <c r="E76" i="3805"/>
  <c r="E75" i="3805"/>
  <c r="E74" i="3805"/>
  <c r="E73" i="3805"/>
  <c r="E72" i="3805"/>
  <c r="E71" i="3805"/>
  <c r="E70" i="3805"/>
  <c r="E69" i="3805"/>
  <c r="E68" i="3805"/>
  <c r="E67" i="3805"/>
  <c r="E66" i="3805"/>
  <c r="E65" i="3805"/>
  <c r="E64" i="3805"/>
  <c r="E63" i="3805"/>
  <c r="E62" i="3805"/>
  <c r="E61" i="3805"/>
  <c r="E60" i="3805"/>
  <c r="E59" i="3805"/>
  <c r="E58" i="3805"/>
  <c r="E57" i="3805"/>
  <c r="E56" i="3805"/>
  <c r="E55" i="3805"/>
  <c r="E54" i="3805"/>
  <c r="E53" i="3805"/>
  <c r="E52" i="3805"/>
  <c r="E51" i="3805"/>
  <c r="E50" i="3805"/>
  <c r="E49" i="3805"/>
  <c r="E46" i="3805"/>
  <c r="E45" i="3805"/>
  <c r="E44" i="3805"/>
  <c r="E43" i="3805"/>
  <c r="E42" i="3805"/>
  <c r="E41" i="3805"/>
  <c r="E39" i="3805"/>
  <c r="E38" i="3805"/>
  <c r="E37" i="3805"/>
  <c r="E36" i="3805"/>
  <c r="E35" i="3805"/>
  <c r="E34" i="3805"/>
  <c r="E33" i="3805"/>
  <c r="E9" i="3805"/>
  <c r="E10" i="3805"/>
  <c r="E11" i="3805"/>
  <c r="E12" i="3805"/>
  <c r="E13" i="3805"/>
  <c r="E14" i="3805"/>
  <c r="E15" i="3805"/>
  <c r="E16" i="3805"/>
  <c r="E17" i="3805"/>
  <c r="E18" i="3805"/>
  <c r="E19" i="3805"/>
  <c r="E20" i="3805"/>
  <c r="E21" i="3805"/>
  <c r="E22" i="3805"/>
  <c r="E23" i="3805"/>
  <c r="E24" i="3805"/>
  <c r="E25" i="3805"/>
  <c r="E26" i="3805"/>
  <c r="E27" i="3805"/>
  <c r="E28" i="3805"/>
  <c r="E29" i="3805"/>
  <c r="E30" i="3805"/>
  <c r="E31" i="3805"/>
  <c r="E32" i="3805"/>
</calcChain>
</file>

<file path=xl/sharedStrings.xml><?xml version="1.0" encoding="utf-8"?>
<sst xmlns="http://schemas.openxmlformats.org/spreadsheetml/2006/main" count="2209" uniqueCount="502">
  <si>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</si>
  <si>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</si>
  <si>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</si>
  <si>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</si>
  <si>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</si>
  <si>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</si>
  <si>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</si>
  <si>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</si>
  <si>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</si>
  <si>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</si>
  <si>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</si>
  <si>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</si>
  <si>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</si>
  <si>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</si>
  <si>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</si>
  <si>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</si>
  <si>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</si>
  <si>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</si>
  <si>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</si>
  <si>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Полоса, ТУ 14-1-1579-2006</t>
  </si>
  <si>
    <t>ТУ 14-1-4118-2004, г/к, травленый, Б, III, ПН, НО, ТО</t>
  </si>
  <si>
    <t>У10А</t>
  </si>
  <si>
    <t>2,5х1250х2500</t>
  </si>
  <si>
    <t>ГОСТ 5950-2000, 19903-74, Пр. 132-756-2011, отжиг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</si>
  <si>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</si>
  <si>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</si>
  <si>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</si>
  <si>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</si>
  <si>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</si>
  <si>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</si>
  <si>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</si>
  <si>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0,8х1250х2500</t>
  </si>
  <si>
    <t>1,5х1200х2000</t>
  </si>
  <si>
    <t>ГОСТ 14959-79, ТУ У 24.1-23365425-687:2013, травл., Ф4, III, БТ, БД, ПН, О</t>
  </si>
  <si>
    <t>1,2х1200х2000</t>
  </si>
  <si>
    <t>1,0х1200х2000</t>
  </si>
  <si>
    <t>16х1500х6000</t>
  </si>
  <si>
    <t>2,5х1200х2000</t>
  </si>
  <si>
    <t>ГОСТ 4543-71, ТУ 14-1-4118-2004</t>
  </si>
  <si>
    <t>3х1250х2500</t>
  </si>
  <si>
    <t>0,5х350х2000</t>
  </si>
  <si>
    <t>ГОСТ 11268-76, категория 3, отжиг, травление, промасливание, 19903-74, Б, ПН-О, АТП</t>
  </si>
  <si>
    <t>ГОСТ 19903-74, 1577-93</t>
  </si>
  <si>
    <t>ГОСТ 19904-90, 16523-97, БТ-ПН-О, ТО, травл.</t>
  </si>
  <si>
    <t>Ст45 калибр.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</si>
  <si>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</si>
  <si>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</si>
  <si>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</si>
  <si>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</si>
  <si>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</si>
  <si>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</si>
  <si>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</si>
  <si>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</si>
  <si>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</si>
  <si>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</si>
  <si>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</si>
  <si>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</si>
  <si>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ГОСТ 19904-90, 11268-76, БТ-IV-ПН-О</t>
  </si>
  <si>
    <t>ГОСТ 11269-76, 19903-74, АТП</t>
  </si>
  <si>
    <t>1,2х450х2000</t>
  </si>
  <si>
    <t>ГОСТ 4543-71, 11268-76, 19904-90, БД, БТ, БШ</t>
  </si>
  <si>
    <t>12х1500х6000</t>
  </si>
  <si>
    <t>15х1500х6000</t>
  </si>
  <si>
    <t>1х1250х2500</t>
  </si>
  <si>
    <t>6х1500х6000</t>
  </si>
  <si>
    <t>0,7х450х2000</t>
  </si>
  <si>
    <t>0,8х450х2000</t>
  </si>
  <si>
    <t>7х1500х6000</t>
  </si>
  <si>
    <t>22х1500х6000</t>
  </si>
  <si>
    <t>ГОСТ 11269-76, 19903-74</t>
  </si>
  <si>
    <t>0,8х350х2000</t>
  </si>
  <si>
    <t>ХВГ</t>
  </si>
  <si>
    <t>5х1000х2000</t>
  </si>
  <si>
    <t xml:space="preserve">1х450х2000    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</si>
  <si>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</si>
  <si>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</si>
  <si>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</si>
  <si>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</si>
  <si>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</si>
  <si>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</si>
  <si>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</si>
  <si>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</si>
  <si>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</si>
  <si>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20х35</t>
  </si>
  <si>
    <t>ГОСТ 4405,отж, 2ГП, подгр.а</t>
  </si>
  <si>
    <t>ГОСТ 4405, отж, 2ГП, подгр.а</t>
  </si>
  <si>
    <t>Протокол 132-126-2016</t>
  </si>
  <si>
    <t>ТУ 14-132-240-2011</t>
  </si>
  <si>
    <t>6х1000х2000</t>
  </si>
  <si>
    <t>40Х13</t>
  </si>
  <si>
    <t>14х1500х6000</t>
  </si>
  <si>
    <t>ГОСТ 19903-74, ТУ 14-1-4148-2014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</si>
  <si>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</si>
  <si>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</si>
  <si>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</si>
  <si>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</si>
  <si>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</si>
  <si>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</si>
  <si>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</si>
  <si>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ТУ14-1-4118-2004, ГОСТ 19903-74, ТО</t>
  </si>
  <si>
    <t>25х1500х5000-6000</t>
  </si>
  <si>
    <t>Нержавеющая сталь</t>
  </si>
  <si>
    <t>ТУ 14-1-1409-75, 19903-75, Б-ПН-О, отжиг</t>
  </si>
  <si>
    <t>Протокол 132-34-2017</t>
  </si>
  <si>
    <t>ГОСТ 11269-76, подгруппа б, категория 3, отжиг, травление, промасливание, 19903-74, ПН-О, АТП</t>
  </si>
  <si>
    <t>Ст40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</si>
  <si>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</si>
  <si>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</si>
  <si>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</si>
  <si>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</si>
  <si>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ТУ 14-132-240-2011, отжиг</t>
  </si>
  <si>
    <t>Ст20сп5</t>
  </si>
  <si>
    <t>1,4х450х2000</t>
  </si>
  <si>
    <t>2,5х450х2000</t>
  </si>
  <si>
    <t>30х1500х4500-5000</t>
  </si>
  <si>
    <t>50х900-1000х2200-2800</t>
  </si>
  <si>
    <t>50х1000-1100х3500-4000</t>
  </si>
  <si>
    <t>ТУ 14-132-240-2011, ГОСТ 19903-74 отжиг</t>
  </si>
  <si>
    <t>ГОСТ 4543-71, 11268-76, 19904-90</t>
  </si>
  <si>
    <t>3,0х1000х2000</t>
  </si>
  <si>
    <t>80х500х360</t>
  </si>
  <si>
    <t>70х800-900х3200-3700</t>
  </si>
  <si>
    <t>ГОСТ 11268-76, категория 3, отжиг, травление, 19903-74, Б, ПН-О, АТП</t>
  </si>
  <si>
    <t>7х1505-1509х5968-5977</t>
  </si>
  <si>
    <t>ГОСТ 11269-76, категория 3, отжиг, травление,  19903-15, Б, ПН-О, АТП</t>
  </si>
  <si>
    <t>ГОСТ 1435-99, 2590-2006,  В1-н/дл-подгр.а- 2ГП-ТО, отжиг</t>
  </si>
  <si>
    <t>ГОСТ 14959-79, ГОСТ 2283-79</t>
  </si>
  <si>
    <t>2х1000х1600</t>
  </si>
  <si>
    <t>100х700-800х2200-2700</t>
  </si>
  <si>
    <t>4,0х1000х2000</t>
  </si>
  <si>
    <t>1,0х450х2000</t>
  </si>
  <si>
    <t>2,0х450х2000</t>
  </si>
  <si>
    <t>ГОСТ 2284-79, 1050-2013</t>
  </si>
  <si>
    <t>ГОСТ 19903-2015, 1577-93</t>
  </si>
  <si>
    <t>0,8х1000х2000</t>
  </si>
  <si>
    <t>ГОСТ 16523-97, 19904-90, АТП</t>
  </si>
  <si>
    <t>5х1500х5500-6000</t>
  </si>
  <si>
    <t>80х700-800х3000-3500</t>
  </si>
  <si>
    <t>1х1000х1600-2000</t>
  </si>
  <si>
    <t>1,5х1000х1900</t>
  </si>
  <si>
    <t>3х1000х1950</t>
  </si>
  <si>
    <t>ГОСТ 2284-79, 1050-2013, х/к</t>
  </si>
  <si>
    <t>ГОСТ 11269-76, подгруппа б, категория 3, отжиг, травление, промасливание, 19903-74, ПН-О</t>
  </si>
  <si>
    <t>10х1500х5500-6500</t>
  </si>
  <si>
    <t>0,7х1250х2500</t>
  </si>
  <si>
    <t>40х1500х6000</t>
  </si>
  <si>
    <t>3х1250х2000</t>
  </si>
  <si>
    <t>ГОСТ 4543-71, 11268-76, 19904-90, ПН, БД, БТ, БШ</t>
  </si>
  <si>
    <t>1х1200х2000</t>
  </si>
  <si>
    <t>ГОСТ 14959-79, 19904-90, ТУ 14-1-4118-04, О, ПН-БТ-БД-БШ, Ф4</t>
  </si>
  <si>
    <t>15х1500х1590</t>
  </si>
  <si>
    <t>36х1500х6000</t>
  </si>
  <si>
    <t>25х1500х6000</t>
  </si>
  <si>
    <t>8х1000х2000</t>
  </si>
  <si>
    <t>10х1000х2000</t>
  </si>
  <si>
    <t>ГОСТ 1577-93, 19903-74, отжиг, Б-ПН-НО</t>
  </si>
  <si>
    <t>8х1500х5900</t>
  </si>
  <si>
    <t>70х800-900х330</t>
  </si>
  <si>
    <t>50х1500х6000</t>
  </si>
  <si>
    <t>1х1000х2000</t>
  </si>
  <si>
    <t>Р6М5К5</t>
  </si>
  <si>
    <t>70х800-900х2000</t>
  </si>
  <si>
    <t>Быстрорежущие стали</t>
  </si>
  <si>
    <t>Р9К5</t>
  </si>
  <si>
    <t>ГОСТ 19265, 2590</t>
  </si>
  <si>
    <t>3х1200х2500</t>
  </si>
  <si>
    <t>45х1400х970</t>
  </si>
  <si>
    <t>ТУ 14-1-4118-2004, ГОСТ 19903-74, ТО</t>
  </si>
  <si>
    <t>ГОСТ 14955,19265,гр.В,h9,т/о,н/д</t>
  </si>
  <si>
    <t>сер. 6,4</t>
  </si>
  <si>
    <t>сер. 10,5</t>
  </si>
  <si>
    <t>сер. 5,5</t>
  </si>
  <si>
    <t>сер. 6,0</t>
  </si>
  <si>
    <t>сер. 5,0</t>
  </si>
  <si>
    <t>сер. 6,5</t>
  </si>
  <si>
    <t>ГОСТ 1435-99, 2590-2006</t>
  </si>
  <si>
    <t>ГОСТ 5950-2000, ГОСТ 2590-2006</t>
  </si>
  <si>
    <t>сер. 6,3</t>
  </si>
  <si>
    <t>ГОСТ 14955,5950,гр.В,h9,т/о,н/д</t>
  </si>
  <si>
    <t>5ХНМ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</si>
  <si>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</si>
  <si>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</si>
  <si>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</si>
  <si>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</si>
  <si>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</si>
  <si>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</si>
  <si>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4,4</t>
  </si>
  <si>
    <t>сер. 5,3</t>
  </si>
  <si>
    <t>сер. 4,3</t>
  </si>
  <si>
    <t>сер. 8,0</t>
  </si>
  <si>
    <t>сер. 9,0</t>
  </si>
  <si>
    <t>сер. 10,0</t>
  </si>
  <si>
    <t xml:space="preserve"> сер.12</t>
  </si>
  <si>
    <t>Протокол 132-88-2018</t>
  </si>
  <si>
    <t>50х550-650х3000-4000</t>
  </si>
  <si>
    <t>60х550-650х3000-4000</t>
  </si>
  <si>
    <t>ГОСТ 4543-16, 19903-15, ТУ 14-105-712-03, Б-ПН-НО</t>
  </si>
  <si>
    <t>2х1250х2500</t>
  </si>
  <si>
    <t>ГОСТ 2590, 19265</t>
  </si>
  <si>
    <t>ГОСТ 14959, 2590, Н/Д, Г/О, Т/О</t>
  </si>
  <si>
    <t>5х1250х2500</t>
  </si>
  <si>
    <t>ГОСТ 2284-79, ГОСТ 1050-2013, отожжённая, Т-Ш-С</t>
  </si>
  <si>
    <t>40х1500х4500-5300</t>
  </si>
  <si>
    <t>40х1500х4000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</si>
  <si>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</si>
  <si>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</si>
  <si>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</si>
  <si>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10х1250х2500</t>
  </si>
  <si>
    <t>30х1500х610</t>
  </si>
  <si>
    <t>8х1250х2500</t>
  </si>
  <si>
    <t>14х1500х6200</t>
  </si>
  <si>
    <t>4х1500х6000</t>
  </si>
  <si>
    <t>10х1500х250</t>
  </si>
  <si>
    <t>16х1500х440</t>
  </si>
  <si>
    <t>1,6х1200х2000</t>
  </si>
  <si>
    <t>14х1500х5585</t>
  </si>
  <si>
    <t>60х550-650х2890</t>
  </si>
  <si>
    <t>ШХ15-Ш</t>
  </si>
  <si>
    <t>ГОСТ 801,2590,г/о,т/о,н/д</t>
  </si>
  <si>
    <t>70х800-900х1725</t>
  </si>
  <si>
    <t>12х1500х5440</t>
  </si>
  <si>
    <t>14х1500х4980</t>
  </si>
  <si>
    <t>30х1500х260</t>
  </si>
  <si>
    <t>25х1500х900</t>
  </si>
  <si>
    <t>60х1500х6000</t>
  </si>
  <si>
    <t>ГОСТ 19903-15, 1577-93, Б, ПН, О</t>
  </si>
  <si>
    <t>70х1200х4300</t>
  </si>
  <si>
    <t>100х500х2400</t>
  </si>
  <si>
    <t>100х500х2600</t>
  </si>
  <si>
    <t>100х500х2400-2500</t>
  </si>
  <si>
    <t>60х1500х5490</t>
  </si>
  <si>
    <t>60х650х3200</t>
  </si>
  <si>
    <t>70х650х2700</t>
  </si>
  <si>
    <t>4х1500х5700</t>
  </si>
  <si>
    <t>50х1000-1100х200</t>
  </si>
  <si>
    <t>12х400</t>
  </si>
  <si>
    <t>12х500</t>
  </si>
  <si>
    <t>90х500</t>
  </si>
  <si>
    <t>60х500</t>
  </si>
  <si>
    <t xml:space="preserve">ТУ 14-19-103-90  </t>
  </si>
  <si>
    <t>ТУ 0902-004-67789391-2012</t>
  </si>
  <si>
    <t>ТУ 14-134-427-2006</t>
  </si>
  <si>
    <t>ГОСТ 1050-13, 16523-97, 19904-90</t>
  </si>
  <si>
    <t>сер. 4,0</t>
  </si>
  <si>
    <t>ГОСТ 5950-2000, ГОСТ 8479</t>
  </si>
  <si>
    <t>50х1500х2310</t>
  </si>
  <si>
    <t>50х550-650х390</t>
  </si>
  <si>
    <t>80х700-800х1360</t>
  </si>
  <si>
    <t>ГОСТ 5950-2000, 19903-74, Пр.132-126-2016, отжиг, травление</t>
  </si>
  <si>
    <t>3х950х2000</t>
  </si>
  <si>
    <t>4х1000х1900</t>
  </si>
  <si>
    <t>14х1500х5490</t>
  </si>
  <si>
    <t>ГОСТ 4543-2016, ТУ 14-105-712-03, ГОСТ 19903-2015, НО, кат.3, форма раскроя 4, ПН</t>
  </si>
  <si>
    <t>4х1250х3000</t>
  </si>
  <si>
    <t>20х1500х5240</t>
  </si>
  <si>
    <t>8х1500х5900-6000</t>
  </si>
  <si>
    <t>90х700-800х2700-3200</t>
  </si>
  <si>
    <t>10х1500х3000</t>
  </si>
  <si>
    <t>50х1500х3530</t>
  </si>
  <si>
    <t>20х1500х1440</t>
  </si>
  <si>
    <t>40х610</t>
  </si>
  <si>
    <t>22х1500х2050</t>
  </si>
  <si>
    <t>2х1000х1900</t>
  </si>
  <si>
    <t>14х1500х5230</t>
  </si>
  <si>
    <t>4Х5МФ1С</t>
  </si>
  <si>
    <t>110х610</t>
  </si>
  <si>
    <t>ГОСТ 4405, ГОСТ 5950-2000</t>
  </si>
  <si>
    <t>2х900-1000х1900-2000</t>
  </si>
  <si>
    <t>3,0х900-1000х2000</t>
  </si>
  <si>
    <t>3,5х900-1000х1900-2000</t>
  </si>
  <si>
    <t>4х900-1000х1900-2000</t>
  </si>
  <si>
    <t>70х1500х3240</t>
  </si>
  <si>
    <t>15х1400х6000</t>
  </si>
  <si>
    <t>30х1500х5800</t>
  </si>
  <si>
    <t>8х1500х2685</t>
  </si>
  <si>
    <t>20х610</t>
  </si>
  <si>
    <t>ГОСТ 5950-2000, ГОСТ 4405</t>
  </si>
  <si>
    <t>150х300</t>
  </si>
  <si>
    <t>12х1500х385</t>
  </si>
  <si>
    <t>16х1500х2000</t>
  </si>
  <si>
    <t>12х1500х870</t>
  </si>
  <si>
    <t>30х1500х3490</t>
  </si>
  <si>
    <t>30х1500х1460</t>
  </si>
  <si>
    <t>80х1200х1640</t>
  </si>
  <si>
    <t>6х1500х690</t>
  </si>
  <si>
    <t>25х1500х3050</t>
  </si>
  <si>
    <t>36х1500х4000</t>
  </si>
  <si>
    <t>90х1000х940</t>
  </si>
  <si>
    <t>30х2000х1480</t>
  </si>
  <si>
    <t>50х610</t>
  </si>
  <si>
    <t>60х610</t>
  </si>
  <si>
    <t>70х610</t>
  </si>
  <si>
    <t>50х1500х1540</t>
  </si>
  <si>
    <t>60х510</t>
  </si>
  <si>
    <t>80х510</t>
  </si>
  <si>
    <t>100х610</t>
  </si>
  <si>
    <t>120х610</t>
  </si>
  <si>
    <t>300х810</t>
  </si>
  <si>
    <t>4Х5МФС-Ш</t>
  </si>
  <si>
    <t>ГОСТ 5950, 4405</t>
  </si>
  <si>
    <t>30х2000х2350</t>
  </si>
  <si>
    <t>30х1500х1370</t>
  </si>
  <si>
    <t>10х1500х3960</t>
  </si>
  <si>
    <t>40х1500х4950</t>
  </si>
  <si>
    <t>4Х5В2ФС</t>
  </si>
  <si>
    <t>ГОСТ 5950-2000, ГОСТ 1133-71</t>
  </si>
  <si>
    <t>6х1500х4380</t>
  </si>
  <si>
    <t>0,5х450х2000</t>
  </si>
  <si>
    <t>10х610</t>
  </si>
  <si>
    <t>25х1500х820</t>
  </si>
  <si>
    <t>45х1500х5030</t>
  </si>
  <si>
    <t>6х1500х2490</t>
  </si>
  <si>
    <t>10х1200х2000</t>
  </si>
  <si>
    <t>10х1500х340</t>
  </si>
  <si>
    <t xml:space="preserve">ГОСТ 19903-74, ТУ 14-1-4148-2014, ПН, НО, ф1, РТ-Техприемка  </t>
  </si>
  <si>
    <t>18х1500х6000</t>
  </si>
  <si>
    <t>40х1500х820</t>
  </si>
  <si>
    <t>40х1500х4140</t>
  </si>
  <si>
    <t>100х1000х2300</t>
  </si>
  <si>
    <t>12Х18Н10Т</t>
  </si>
  <si>
    <t>6х1250х2500</t>
  </si>
  <si>
    <t>ГОСТ 19903-2015, ГОСТ 7350-77</t>
  </si>
  <si>
    <t>60х1000-1100х390</t>
  </si>
  <si>
    <t>8х1500х5000-6000</t>
  </si>
  <si>
    <t>ГОСТ 5582-75, 19903-15, Б, М4г, ПН, О</t>
  </si>
  <si>
    <t>ТУ 14-132-208-2001, 19903-2015 М5г, Б, О, отжиг б/травл.</t>
  </si>
  <si>
    <t>8х1500х5500-6500</t>
  </si>
  <si>
    <t>12х1500х5500-6000</t>
  </si>
  <si>
    <t>16х1500х4000-4500</t>
  </si>
  <si>
    <t>ГОСТ 7350-77, 19903-2015 М5г, Б, О, закалка, травл.</t>
  </si>
  <si>
    <t>30х1100-1200х3000-4000</t>
  </si>
  <si>
    <t>40х1000-1100х2500-3500</t>
  </si>
  <si>
    <t>3Х2В8Ф-Ш</t>
  </si>
  <si>
    <t>6х1500х1000</t>
  </si>
  <si>
    <t>ТУ 14-1-5243, ГОСТ 1133</t>
  </si>
  <si>
    <t>50х1500х810</t>
  </si>
  <si>
    <t>10х1500х1430</t>
  </si>
  <si>
    <t>30х1500х500</t>
  </si>
  <si>
    <t>20х1500х460</t>
  </si>
  <si>
    <t>5х1500х845</t>
  </si>
  <si>
    <t>90х610</t>
  </si>
  <si>
    <t>2,5х600х1300</t>
  </si>
  <si>
    <t>100х1500х870</t>
  </si>
  <si>
    <t>16х1500х1285</t>
  </si>
  <si>
    <t>25х1500х710</t>
  </si>
  <si>
    <t>12х1500х1115</t>
  </si>
  <si>
    <t>12х2000х3790</t>
  </si>
  <si>
    <t>25х1500х3430</t>
  </si>
  <si>
    <t>16х1500х2380</t>
  </si>
  <si>
    <t>60х1500х640</t>
  </si>
  <si>
    <t>40х1500х2810</t>
  </si>
  <si>
    <t>70х1200х3760</t>
  </si>
  <si>
    <t>16х1500х500</t>
  </si>
  <si>
    <t>40х1200-1300х550</t>
  </si>
  <si>
    <t>20х1500х4300</t>
  </si>
  <si>
    <t>12х1500х5290</t>
  </si>
  <si>
    <t>5х1500х5200</t>
  </si>
  <si>
    <t>8х1500х5300</t>
  </si>
  <si>
    <t>16х1500х4000-6000</t>
  </si>
  <si>
    <t>50х1500х5900</t>
  </si>
  <si>
    <t>70х1500х5000-5500</t>
  </si>
  <si>
    <t>12Х18Н10Т (AISI 321)</t>
  </si>
  <si>
    <t>1,0х1250х2500</t>
  </si>
  <si>
    <t>8х1500х260</t>
  </si>
  <si>
    <t>20х1500х2980</t>
  </si>
  <si>
    <t>20х1500х3950</t>
  </si>
  <si>
    <t>Ст45</t>
  </si>
  <si>
    <t>Ст3</t>
  </si>
  <si>
    <t>10х1500х1685</t>
  </si>
  <si>
    <t>90х700-800х1630</t>
  </si>
  <si>
    <t>20х1500х250</t>
  </si>
  <si>
    <t>30х1100-1200х2630</t>
  </si>
  <si>
    <t>40х1000-1100х630</t>
  </si>
  <si>
    <t>5х1500х2810</t>
  </si>
  <si>
    <t>ЛЕНТА 0,5х75</t>
  </si>
  <si>
    <t>ГОСТ 2283-79, 1435-99, С</t>
  </si>
  <si>
    <t>ГОСТ 14959-79, ГОСТ 2283-79, С</t>
  </si>
  <si>
    <t>ЛЕНТА 0,8х90</t>
  </si>
  <si>
    <t>5х1500х2390</t>
  </si>
  <si>
    <t>8х1500х1060</t>
  </si>
  <si>
    <t>125х2000х3000</t>
  </si>
  <si>
    <t>60х1000-1100х1270</t>
  </si>
  <si>
    <t>80х700-800х3010</t>
  </si>
  <si>
    <t>12х1500х300</t>
  </si>
  <si>
    <t>120х1500х3100</t>
  </si>
  <si>
    <t>6х1500х5500-6000</t>
  </si>
  <si>
    <t>35х1200-1300х4000-4500</t>
  </si>
  <si>
    <t>8х1500х1570</t>
  </si>
  <si>
    <t>12х1500х270</t>
  </si>
  <si>
    <t>12х1500х400</t>
  </si>
  <si>
    <t>14х1500х680</t>
  </si>
  <si>
    <t xml:space="preserve">ГОСТ 11269-76, 19903-2015, 4543-2016, УЗК по ГОСТ 22727-88 </t>
  </si>
  <si>
    <t xml:space="preserve">ГОСТ 11269-76, 19903-2015, 4543-2016,УЗК по ГОСТ 22727-88 </t>
  </si>
  <si>
    <t>ГОСТ 14955-77, 5950,гр.В,h9,т/о,н/д</t>
  </si>
  <si>
    <t>ГОСТ 19903-74, 14637-89, 380-05</t>
  </si>
  <si>
    <t>ГОСТ 2590-2006,1050</t>
  </si>
  <si>
    <t>80х1500х4010</t>
  </si>
  <si>
    <t>10х1500х900</t>
  </si>
  <si>
    <t>16х1500х460</t>
  </si>
  <si>
    <t>Протокол 132-50-2019</t>
  </si>
  <si>
    <t>30х1500х4000-5000</t>
  </si>
  <si>
    <t>12х1500х1980</t>
  </si>
  <si>
    <t>20х1500х4010</t>
  </si>
  <si>
    <t>30х1500х410</t>
  </si>
  <si>
    <t>6х1500х5975-5981</t>
  </si>
  <si>
    <t>6х1500х5966-5972</t>
  </si>
  <si>
    <t>10х1500х5500-5515</t>
  </si>
  <si>
    <t>80х700-800х1440</t>
  </si>
  <si>
    <t>50х1000-1100х2730</t>
  </si>
  <si>
    <t>30х1500х4250</t>
  </si>
  <si>
    <t>50х1000-1100х860</t>
  </si>
  <si>
    <t>60х1000-1100х1100</t>
  </si>
  <si>
    <t>3Х3М3Ф</t>
  </si>
  <si>
    <t>кв. 85</t>
  </si>
  <si>
    <t>ГОСТ 8479-70, 1050,   УЗК</t>
  </si>
  <si>
    <t>ГОСТ 2590, 4543</t>
  </si>
  <si>
    <t>50х550-650х3500</t>
  </si>
  <si>
    <t>6х1500х470</t>
  </si>
  <si>
    <t>ГОСТ 5950,4492</t>
  </si>
  <si>
    <t>5ХВ2СФ</t>
  </si>
  <si>
    <t>шгр.24</t>
  </si>
  <si>
    <t>Р9М4К8</t>
  </si>
  <si>
    <t>ГОСТ 2590, 535-2005</t>
  </si>
  <si>
    <t>0,8х1000х1750-2000</t>
  </si>
  <si>
    <t>ГОСТ 19904-90, 5582-75, ТО, травл., БТ- I-IV -М2а, ПН, О</t>
  </si>
  <si>
    <t>ГОСТ 2879,1050</t>
  </si>
  <si>
    <t>10х1500х2110</t>
  </si>
  <si>
    <t>8х1500х3500</t>
  </si>
  <si>
    <t>30х150</t>
  </si>
  <si>
    <t>10ХСНД</t>
  </si>
  <si>
    <t>ГОСТ 19281-2014, 19903-74</t>
  </si>
  <si>
    <t>90х500х1800</t>
  </si>
  <si>
    <t>70х1500х4900</t>
  </si>
  <si>
    <t>ГОСТ 19903-15, ТУ 14-1-4148-2014, АТП</t>
  </si>
  <si>
    <t>50х1000-1100х1550</t>
  </si>
  <si>
    <t>ТУ 14-132-240-2011, ГОСТ 19903-2015</t>
  </si>
  <si>
    <t>6х1500х4450</t>
  </si>
  <si>
    <t>12х1500х810</t>
  </si>
  <si>
    <t>Протокол 132-50-2019, ГОСТ 5950-2000, 19903-2015</t>
  </si>
  <si>
    <t>12х1500х1480</t>
  </si>
  <si>
    <t>ТУ 14-123-199-2012</t>
  </si>
  <si>
    <t>20х1500х1515</t>
  </si>
  <si>
    <t>ГОСТ 11269-76, категория 3, отжиг, травление, 19903-74, Б, ПН-О, АТП</t>
  </si>
  <si>
    <t>25х1500х4390</t>
  </si>
  <si>
    <t>12х610</t>
  </si>
  <si>
    <t xml:space="preserve">ТУ14-1-4118-04, ГОСТ 19903-2015, ТО, </t>
  </si>
  <si>
    <t>ГОСТ 19903-15, 1577-93,1050-2013, Б, ПН, О</t>
  </si>
  <si>
    <t>ГОСТ 19903-2015, 1577-93, 14959-2016, Б, ПН, О</t>
  </si>
  <si>
    <t>ГОСТ 1577-93, 19903-2015, 1050-2013, Б, ПН, О</t>
  </si>
  <si>
    <t>70х1200х4400</t>
  </si>
  <si>
    <t>5х1500х1720</t>
  </si>
  <si>
    <t>6х1500х490</t>
  </si>
  <si>
    <t>8х1500х1970</t>
  </si>
  <si>
    <t>45х1000-1300х3500-4000</t>
  </si>
  <si>
    <t>12х1500х5400-6000</t>
  </si>
  <si>
    <t>ЛЕНТА 1,0х85</t>
  </si>
  <si>
    <t>ЛЕНТА 0,5х12</t>
  </si>
  <si>
    <t>45х1500х5050</t>
  </si>
  <si>
    <t>12х1500х3980</t>
  </si>
  <si>
    <t>14х1500х5000</t>
  </si>
  <si>
    <t>10х1500х1170</t>
  </si>
  <si>
    <t>25х1200-1300х1720</t>
  </si>
  <si>
    <t>16х1500х490</t>
  </si>
  <si>
    <t>10х1500х5750</t>
  </si>
  <si>
    <t>10х1500х4995</t>
  </si>
  <si>
    <t>ГОСТ 5950-2000,  4405-75</t>
  </si>
  <si>
    <t>5х1500х2990</t>
  </si>
  <si>
    <t>6х1500х3000</t>
  </si>
  <si>
    <t>100х1500х640-810</t>
  </si>
  <si>
    <t>30х1500х1520</t>
  </si>
  <si>
    <t>35х1200-1500х300</t>
  </si>
  <si>
    <t>6х1500х1080</t>
  </si>
  <si>
    <t>8х1500х5420-5520</t>
  </si>
  <si>
    <t>5х1500х4745</t>
  </si>
  <si>
    <t>60х1500х3010</t>
  </si>
  <si>
    <t>65х1500х2740</t>
  </si>
  <si>
    <t>10х1500х1130</t>
  </si>
  <si>
    <t>10х1500х5000</t>
  </si>
  <si>
    <t>8х1500х395</t>
  </si>
  <si>
    <t>10х1500х3900</t>
  </si>
  <si>
    <t>30х1500х2810</t>
  </si>
  <si>
    <t>20х1500х2400-3900</t>
  </si>
  <si>
    <t>25х1500х410</t>
  </si>
  <si>
    <t>6х1500х4710</t>
  </si>
  <si>
    <t>25х1500х4750</t>
  </si>
  <si>
    <t>30х1500х2130</t>
  </si>
  <si>
    <t>30х1500х230</t>
  </si>
  <si>
    <t>60х1000-1100х800-1300</t>
  </si>
  <si>
    <t>80х700-800х1000-1500</t>
  </si>
  <si>
    <t>100х700-800х2580</t>
  </si>
  <si>
    <t>40х1200-1300х1740</t>
  </si>
  <si>
    <t>90х1000х3100</t>
  </si>
  <si>
    <t>80х1200х2450-2750</t>
  </si>
  <si>
    <t>Склад  на 27.11.2019г.</t>
  </si>
  <si>
    <t>ООО « Промгруппа »</t>
  </si>
  <si>
    <t>454047, г. Челябинск, ул. Хмельницкого, д.15  тел./ф. (351) 735-59-91; 735-59-79, 214-59-79, 214-59-91</t>
  </si>
  <si>
    <t xml:space="preserve">          e-mail: promgroup05@mail.ru            сайт: www.promgroupchel.ru</t>
  </si>
  <si>
    <t>Круги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</si>
  <si>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</si>
  <si>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</si>
  <si>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листовой металлопрокат</t>
  </si>
  <si>
    <t>КругиA452:A525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</si>
</sst>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\ mmmm\,\ yyyy"/>
    <numFmt numFmtId="173" formatCode="#,##0.0000"/>
  </numFmts>
  <fonts count="2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1" fillId="0" borderId="0"/>
    <xf numFmtId="0" fontId="26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1" fillId="0" borderId="0" applyFon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18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18" borderId="13" xfId="25" applyFont="1" applyFill="1" applyBorder="1" applyAlignment="1">
      <alignment horizontal="center" vertical="center" wrapText="1"/>
    </xf>
    <xf numFmtId="173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0" fontId="19" fillId="0" borderId="13" xfId="25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173" fontId="23" fillId="0" borderId="0" xfId="0" applyNumberFormat="1" applyFont="1" applyAlignment="1">
      <alignment horizontal="center" vertical="center"/>
    </xf>
    <xf numFmtId="0" fontId="23" fillId="0" borderId="0" xfId="0" applyFont="1"/>
    <xf numFmtId="0" fontId="19" fillId="18" borderId="10" xfId="0" applyFont="1" applyFill="1" applyBorder="1" applyAlignment="1">
      <alignment horizontal="center" vertical="center"/>
    </xf>
    <xf numFmtId="0" fontId="19" fillId="18" borderId="15" xfId="25" applyFont="1" applyFill="1" applyBorder="1" applyAlignment="1">
      <alignment horizontal="center" vertical="center" wrapText="1"/>
    </xf>
    <xf numFmtId="173" fontId="19" fillId="0" borderId="16" xfId="25" applyNumberFormat="1" applyFont="1" applyFill="1" applyBorder="1" applyAlignment="1">
      <alignment horizontal="center" vertical="center" wrapText="1"/>
    </xf>
    <xf numFmtId="173" fontId="19" fillId="18" borderId="16" xfId="25" applyNumberFormat="1" applyFont="1" applyFill="1" applyBorder="1" applyAlignment="1">
      <alignment horizontal="center" vertical="center" wrapText="1"/>
    </xf>
    <xf numFmtId="173" fontId="19" fillId="0" borderId="16" xfId="0" applyNumberFormat="1" applyFont="1" applyFill="1" applyBorder="1" applyAlignment="1">
      <alignment horizontal="center" vertical="center"/>
    </xf>
    <xf numFmtId="173" fontId="19" fillId="0" borderId="16" xfId="0" applyNumberFormat="1" applyFont="1" applyFill="1" applyBorder="1" applyAlignment="1">
      <alignment horizontal="center" vertical="center" wrapText="1"/>
    </xf>
    <xf numFmtId="173" fontId="19" fillId="18" borderId="16" xfId="0" applyNumberFormat="1" applyFont="1" applyFill="1" applyBorder="1" applyAlignment="1">
      <alignment horizontal="center" vertical="center"/>
    </xf>
    <xf numFmtId="173" fontId="19" fillId="18" borderId="16" xfId="0" applyNumberFormat="1" applyFont="1" applyFill="1" applyBorder="1" applyAlignment="1">
      <alignment horizontal="center" vertical="center" wrapText="1"/>
    </xf>
    <xf numFmtId="0" fontId="19" fillId="0" borderId="15" xfId="25" applyFont="1" applyFill="1" applyBorder="1" applyAlignment="1">
      <alignment horizontal="center" vertical="center" wrapText="1"/>
    </xf>
    <xf numFmtId="0" fontId="19" fillId="19" borderId="18" xfId="0" applyFont="1" applyFill="1" applyBorder="1" applyAlignment="1">
      <alignment horizontal="center" vertical="center"/>
    </xf>
    <xf numFmtId="173" fontId="19" fillId="0" borderId="16" xfId="0" applyNumberFormat="1" applyFont="1" applyBorder="1" applyAlignment="1">
      <alignment horizontal="center" vertical="center" wrapText="1"/>
    </xf>
    <xf numFmtId="173" fontId="19" fillId="19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2" fontId="19" fillId="17" borderId="21" xfId="25" applyNumberFormat="1" applyFont="1" applyFill="1" applyBorder="1" applyAlignment="1">
      <alignment horizontal="center" vertical="center" wrapText="1"/>
    </xf>
    <xf numFmtId="173" fontId="19" fillId="17" borderId="22" xfId="25" applyNumberFormat="1" applyFont="1" applyFill="1" applyBorder="1" applyAlignment="1">
      <alignment horizontal="center" vertical="center" wrapText="1"/>
    </xf>
    <xf numFmtId="0" fontId="19" fillId="18" borderId="24" xfId="25" applyFont="1" applyFill="1" applyBorder="1" applyAlignment="1">
      <alignment horizontal="center" vertical="center" wrapText="1"/>
    </xf>
    <xf numFmtId="173" fontId="19" fillId="0" borderId="25" xfId="25" applyNumberFormat="1" applyFont="1" applyFill="1" applyBorder="1" applyAlignment="1">
      <alignment horizontal="center" vertical="center" wrapText="1"/>
    </xf>
    <xf numFmtId="0" fontId="19" fillId="15" borderId="12" xfId="25" applyFont="1" applyFill="1" applyBorder="1" applyAlignment="1">
      <alignment horizontal="center" vertical="center" wrapText="1"/>
    </xf>
    <xf numFmtId="173" fontId="19" fillId="0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19" borderId="17" xfId="25" applyFont="1" applyFill="1" applyBorder="1" applyAlignment="1">
      <alignment horizontal="center" vertical="center" wrapText="1"/>
    </xf>
    <xf numFmtId="0" fontId="19" fillId="19" borderId="18" xfId="25" applyFont="1" applyFill="1" applyBorder="1" applyAlignment="1">
      <alignment horizontal="center" vertical="center" wrapText="1"/>
    </xf>
    <xf numFmtId="173" fontId="19" fillId="16" borderId="23" xfId="25" applyNumberFormat="1" applyFont="1" applyFill="1" applyBorder="1" applyAlignment="1">
      <alignment horizontal="center" vertical="center" wrapText="1"/>
    </xf>
    <xf numFmtId="173" fontId="19" fillId="16" borderId="19" xfId="25" applyNumberFormat="1" applyFont="1" applyFill="1" applyBorder="1" applyAlignment="1">
      <alignment horizontal="center" vertical="center" wrapText="1"/>
    </xf>
    <xf numFmtId="0" fontId="19" fillId="16" borderId="11" xfId="25" applyFont="1" applyFill="1" applyBorder="1" applyAlignment="1">
      <alignment horizontal="center" vertical="center" wrapText="1"/>
    </xf>
    <xf numFmtId="0" fontId="19" fillId="16" borderId="18" xfId="25" applyFont="1" applyFill="1" applyBorder="1" applyAlignment="1">
      <alignment horizontal="center" vertical="center" wrapText="1"/>
    </xf>
    <xf numFmtId="172" fontId="24" fillId="17" borderId="20" xfId="25" applyNumberFormat="1" applyFont="1" applyFill="1" applyBorder="1" applyAlignment="1">
      <alignment horizontal="center" vertical="center" wrapText="1"/>
    </xf>
    <xf numFmtId="0" fontId="25" fillId="0" borderId="21" xfId="0" applyFont="1" applyBorder="1"/>
    <xf numFmtId="0" fontId="19" fillId="16" borderId="14" xfId="25" applyFont="1" applyFill="1" applyBorder="1" applyAlignment="1">
      <alignment horizontal="center" vertical="center" wrapText="1"/>
    </xf>
    <xf numFmtId="0" fontId="23" fillId="0" borderId="17" xfId="0" applyFont="1" applyBorder="1"/>
    <xf numFmtId="0" fontId="23" fillId="0" borderId="18" xfId="0" applyFont="1" applyBorder="1"/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581"/>
  <sheetViews>
    <sheetView tabSelected="1" topLeftCell="A481" zoomScale="115" zoomScaleNormal="115" workbookViewId="0">
      <selection activeCell="D494" sqref="D494"/>
    </sheetView>
  </sheetViews>
  <sheetFormatPr defaultRowHeight="15" x14ac:dyDescent="0.25"/>
  <cols>
    <col min="1" max="1" width="47.85546875" style="20" customWidth="1"/>
    <col min="2" max="2" width="16.85546875" style="20" customWidth="1"/>
    <col min="3" max="3" width="36.28515625" style="20" customWidth="1"/>
    <col min="4" max="4" width="26.28515625" style="20" customWidth="1"/>
    <col min="5" max="5" width="12.42578125" style="20" customWidth="1"/>
    <col min="6" max="16384" width="9.140625" style="20"/>
  </cols>
  <sheetData>
    <row r="1" spans="1:6" x14ac:dyDescent="0.25">
      <c r="A1" s="33"/>
      <c r="B1" s="33"/>
      <c r="C1" s="33" t="s">
        <v>494</v>
      </c>
      <c r="D1" s="33"/>
      <c r="E1" s="19"/>
    </row>
    <row r="2" spans="1:6" x14ac:dyDescent="0.25">
      <c r="A2" s="40" t="s">
        <v>495</v>
      </c>
      <c r="B2" s="40"/>
      <c r="C2" s="40"/>
      <c r="D2" s="40"/>
      <c r="E2" s="40"/>
      <c r="F2" s="40"/>
    </row>
    <row r="3" spans="1:6" x14ac:dyDescent="0.25">
      <c r="A3" s="33"/>
      <c r="B3" s="33"/>
      <c r="C3" s="33" t="s">
        <v>496</v>
      </c>
      <c r="D3" s="33"/>
      <c r="E3" s="19"/>
    </row>
    <row r="5" spans="1:6" ht="15.75" thickBot="1" x14ac:dyDescent="0.3"/>
    <row r="6" spans="1:6" ht="24" thickBot="1" x14ac:dyDescent="0.4">
      <c r="A6" s="47" t="s">
        <v>493</v>
      </c>
      <c r="B6" s="48"/>
      <c r="C6" s="48"/>
      <c r="D6" s="34"/>
      <c r="E6" s="35"/>
    </row>
    <row r="7" spans="1:6" x14ac:dyDescent="0.25">
      <c r="A7" s="49" t="s">
        <v>0</v>
      </c>
      <c r="B7" s="45" t="s">
        <v>1</v>
      </c>
      <c r="C7" s="45" t="s">
        <v>2</v>
      </c>
      <c r="D7" s="45" t="s">
        <v>3</v>
      </c>
      <c r="E7" s="43" t="s">
        <v>11</v>
      </c>
    </row>
    <row r="8" spans="1:6" ht="15.75" thickBot="1" x14ac:dyDescent="0.3">
      <c r="A8" s="50"/>
      <c r="B8" s="51"/>
      <c r="C8" s="51"/>
      <c r="D8" s="46"/>
      <c r="E8" s="44"/>
    </row>
    <row r="9" spans="1:6" ht="28.5" hidden="1" x14ac:dyDescent="0.25">
      <c r="A9" s="36" t="s">
        <v>498</v>
      </c>
      <c r="B9" s="13" t="s">
        <v>4</v>
      </c>
      <c r="C9" s="13" t="s">
        <v>52</v>
      </c>
      <c r="D9" s="16" t="s">
        <v>307</v>
      </c>
      <c r="E9" s="37">
        <f>6.456-1-1-0.048-0.004-0.064-0.016-0.004-0.04-0.04-0.016-0.052-0.1-0.02-0.12-0.004-0.199-0.008-0.499-0.172-0.251-0.004-0.04-0.052-0.008-0.008-0.301-0.02-0.021-0.004-0.04-0.004-0.004-0.08-0.21-0.04-0.008-0.2-0.004-0.004-0.004-0.004-0.008-0.038-0.1</f>
        <v>1.5930000000000017</v>
      </c>
    </row>
    <row r="10" spans="1:6" hidden="1" x14ac:dyDescent="0.25">
      <c r="A10" s="36" t="s">
        <v>498</v>
      </c>
      <c r="B10" s="4" t="s">
        <v>4</v>
      </c>
      <c r="C10" s="15" t="s">
        <v>376</v>
      </c>
      <c r="D10" s="15" t="s">
        <v>374</v>
      </c>
      <c r="E10" s="23">
        <f>0.58-0.288</f>
        <v>0.29199999999999998</v>
      </c>
    </row>
    <row r="11" spans="1:6" ht="28.5" hidden="1" x14ac:dyDescent="0.25">
      <c r="A11" s="36" t="s">
        <v>498</v>
      </c>
      <c r="B11" s="4" t="s">
        <v>4</v>
      </c>
      <c r="C11" s="4" t="s">
        <v>52</v>
      </c>
      <c r="D11" s="15" t="s">
        <v>65</v>
      </c>
      <c r="E11" s="23">
        <f>3.988-0.556-0.298-2.174-0.02+0.015-0.528</f>
        <v>0.42699999999999994</v>
      </c>
    </row>
    <row r="12" spans="1:6" ht="28.5" hidden="1" x14ac:dyDescent="0.25">
      <c r="A12" s="36" t="s">
        <v>498</v>
      </c>
      <c r="B12" s="4" t="s">
        <v>4</v>
      </c>
      <c r="C12" s="4" t="s">
        <v>52</v>
      </c>
      <c r="D12" s="15" t="s">
        <v>66</v>
      </c>
      <c r="E12" s="24">
        <f>0.651-0.434-0.217+0.03</f>
        <v>3.0000000000000027E-2</v>
      </c>
    </row>
    <row r="13" spans="1:6" hidden="1" x14ac:dyDescent="0.25">
      <c r="A13" s="36" t="s">
        <v>498</v>
      </c>
      <c r="B13" s="4" t="s">
        <v>4</v>
      </c>
      <c r="C13" s="4" t="s">
        <v>126</v>
      </c>
      <c r="D13" s="15" t="s">
        <v>66</v>
      </c>
      <c r="E13" s="23">
        <f>7.966-0.163-0.12-0.006-0.05-0.497-0.018-0.006-0.06-0.018-0.099-0.959-0.2-0.201</f>
        <v>5.5690000000000008</v>
      </c>
    </row>
    <row r="14" spans="1:6" hidden="1" x14ac:dyDescent="0.25">
      <c r="A14" s="36" t="s">
        <v>498</v>
      </c>
      <c r="B14" s="4" t="s">
        <v>4</v>
      </c>
      <c r="C14" s="4" t="s">
        <v>126</v>
      </c>
      <c r="D14" s="15" t="s">
        <v>73</v>
      </c>
      <c r="E14" s="23">
        <f>7.484-0.496-2.6-0.007-0.007-0.007-0.5-0.097-0.998-0.797-0.007-0.8-0.028-0.106-0.8-0.177</f>
        <v>5.7000000000000883E-2</v>
      </c>
    </row>
    <row r="15" spans="1:6" hidden="1" x14ac:dyDescent="0.25">
      <c r="A15" s="36" t="s">
        <v>498</v>
      </c>
      <c r="B15" s="4" t="s">
        <v>4</v>
      </c>
      <c r="C15" s="4" t="s">
        <v>126</v>
      </c>
      <c r="D15" s="15" t="s">
        <v>73</v>
      </c>
      <c r="E15" s="23">
        <f>7.354</f>
        <v>7.3540000000000001</v>
      </c>
    </row>
    <row r="16" spans="1:6" ht="28.5" hidden="1" x14ac:dyDescent="0.25">
      <c r="A16" s="36" t="s">
        <v>498</v>
      </c>
      <c r="B16" s="4" t="s">
        <v>4</v>
      </c>
      <c r="C16" s="15" t="s">
        <v>149</v>
      </c>
      <c r="D16" s="15" t="s">
        <v>362</v>
      </c>
      <c r="E16" s="23">
        <f>4.92-0.025-0.025-0.025-0.35</f>
        <v>4.4949999999999992</v>
      </c>
    </row>
    <row r="17" spans="1:5" hidden="1" x14ac:dyDescent="0.25">
      <c r="A17" s="36" t="s">
        <v>498</v>
      </c>
      <c r="B17" s="4" t="s">
        <v>4</v>
      </c>
      <c r="C17" s="4" t="s">
        <v>126</v>
      </c>
      <c r="D17" s="7" t="s">
        <v>59</v>
      </c>
      <c r="E17" s="25">
        <f>4.778-0.164-0.009-0.009-0.101-0.036-0.108-0.156-0.009-0.3-0.009-0.018-0.149-0.1-0.009-0.009-0.009-0.036-0.124-0.216-0.108-0.009-0.502-0.099-0.041-0.107</f>
        <v>2.3409999999999997</v>
      </c>
    </row>
    <row r="18" spans="1:5" hidden="1" x14ac:dyDescent="0.25">
      <c r="A18" s="36" t="s">
        <v>498</v>
      </c>
      <c r="B18" s="4" t="s">
        <v>4</v>
      </c>
      <c r="C18" s="4" t="s">
        <v>126</v>
      </c>
      <c r="D18" s="15" t="s">
        <v>49</v>
      </c>
      <c r="E18" s="23">
        <f>18.574-2.447-2.328-0.496-0.997-1.246-2.401-3.737-0.196-0.011-0.103-0.103-0.011-1.25-0.298-1.9-0.275</f>
        <v>0.77500000000000291</v>
      </c>
    </row>
    <row r="19" spans="1:5" hidden="1" x14ac:dyDescent="0.25">
      <c r="A19" s="36" t="s">
        <v>498</v>
      </c>
      <c r="B19" s="4" t="s">
        <v>4</v>
      </c>
      <c r="C19" s="4" t="s">
        <v>126</v>
      </c>
      <c r="D19" s="15" t="s">
        <v>49</v>
      </c>
      <c r="E19" s="23">
        <f>26.716-1.3-19-5.998</f>
        <v>0.41800000000000015</v>
      </c>
    </row>
    <row r="20" spans="1:5" ht="28.5" hidden="1" x14ac:dyDescent="0.25">
      <c r="A20" s="36" t="s">
        <v>498</v>
      </c>
      <c r="B20" s="4" t="s">
        <v>4</v>
      </c>
      <c r="C20" s="15" t="s">
        <v>149</v>
      </c>
      <c r="D20" s="15" t="s">
        <v>32</v>
      </c>
      <c r="E20" s="23">
        <f>4.65-0.029-0.029-0.058-0.113-0.48-0.113-0.029-0.029-0.029-0.057-0.282-0.199-0.142-0.058-0.029-0.085-0.029-0.029</f>
        <v>2.8310000000000013</v>
      </c>
    </row>
    <row r="21" spans="1:5" ht="28.5" hidden="1" x14ac:dyDescent="0.25">
      <c r="A21" s="36" t="s">
        <v>498</v>
      </c>
      <c r="B21" s="4" t="s">
        <v>4</v>
      </c>
      <c r="C21" s="15" t="s">
        <v>149</v>
      </c>
      <c r="D21" s="15" t="s">
        <v>93</v>
      </c>
      <c r="E21" s="23">
        <f>7.429-0.227-0.075-0.153-0.376-0.037</f>
        <v>6.5609999999999999</v>
      </c>
    </row>
    <row r="22" spans="1:5" hidden="1" x14ac:dyDescent="0.25">
      <c r="A22" s="36" t="s">
        <v>498</v>
      </c>
      <c r="B22" s="4" t="s">
        <v>4</v>
      </c>
      <c r="C22" s="4" t="s">
        <v>126</v>
      </c>
      <c r="D22" s="15" t="s">
        <v>97</v>
      </c>
      <c r="E22" s="23">
        <f>2.048-0.253-0.099-0.036-0.056</f>
        <v>1.6039999999999999</v>
      </c>
    </row>
    <row r="23" spans="1:5" hidden="1" x14ac:dyDescent="0.25">
      <c r="A23" s="36" t="s">
        <v>498</v>
      </c>
      <c r="B23" s="4" t="s">
        <v>4</v>
      </c>
      <c r="C23" s="4" t="s">
        <v>126</v>
      </c>
      <c r="D23" s="15" t="s">
        <v>97</v>
      </c>
      <c r="E23" s="23">
        <f>2.874</f>
        <v>2.8740000000000001</v>
      </c>
    </row>
    <row r="24" spans="1:5" hidden="1" x14ac:dyDescent="0.25">
      <c r="A24" s="36" t="s">
        <v>498</v>
      </c>
      <c r="B24" s="4" t="s">
        <v>4</v>
      </c>
      <c r="C24" s="4" t="s">
        <v>126</v>
      </c>
      <c r="D24" s="15" t="s">
        <v>75</v>
      </c>
      <c r="E24" s="23">
        <f>9.942-5.994-0.024-1.978-0.94-0.044-0.084-0.06-0.305-0.012-0.01</f>
        <v>0.49100000000000055</v>
      </c>
    </row>
    <row r="25" spans="1:5" hidden="1" x14ac:dyDescent="0.25">
      <c r="A25" s="36" t="s">
        <v>498</v>
      </c>
      <c r="B25" s="4" t="s">
        <v>4</v>
      </c>
      <c r="C25" s="4" t="s">
        <v>126</v>
      </c>
      <c r="D25" s="15" t="s">
        <v>75</v>
      </c>
      <c r="E25" s="23">
        <f>0.962</f>
        <v>0.96199999999999997</v>
      </c>
    </row>
    <row r="26" spans="1:5" ht="28.5" hidden="1" x14ac:dyDescent="0.25">
      <c r="A26" s="36" t="s">
        <v>498</v>
      </c>
      <c r="B26" s="4" t="s">
        <v>4</v>
      </c>
      <c r="C26" s="4" t="s">
        <v>52</v>
      </c>
      <c r="D26" s="15" t="s">
        <v>76</v>
      </c>
      <c r="E26" s="23">
        <f>0.99-0.013</f>
        <v>0.97699999999999998</v>
      </c>
    </row>
    <row r="27" spans="1:5" hidden="1" x14ac:dyDescent="0.25">
      <c r="A27" s="36" t="s">
        <v>498</v>
      </c>
      <c r="B27" s="4" t="s">
        <v>4</v>
      </c>
      <c r="C27" s="4" t="s">
        <v>126</v>
      </c>
      <c r="D27" s="7" t="s">
        <v>50</v>
      </c>
      <c r="E27" s="25">
        <f>10.474-0.18-0.112-0.152-0.028-0.014-0.028-0.995-0.138-0.354</f>
        <v>8.4730000000000025</v>
      </c>
    </row>
    <row r="28" spans="1:5" hidden="1" x14ac:dyDescent="0.25">
      <c r="A28" s="36" t="s">
        <v>498</v>
      </c>
      <c r="B28" s="1" t="s">
        <v>4</v>
      </c>
      <c r="C28" s="4" t="s">
        <v>126</v>
      </c>
      <c r="D28" s="7" t="s">
        <v>113</v>
      </c>
      <c r="E28" s="26">
        <f>2.976-0.276-0.069-0.074</f>
        <v>2.5570000000000004</v>
      </c>
    </row>
    <row r="29" spans="1:5" ht="42.75" hidden="1" x14ac:dyDescent="0.25">
      <c r="A29" s="36" t="s">
        <v>498</v>
      </c>
      <c r="B29" s="2" t="s">
        <v>4</v>
      </c>
      <c r="C29" s="8" t="s">
        <v>33</v>
      </c>
      <c r="D29" s="7" t="s">
        <v>8</v>
      </c>
      <c r="E29" s="25">
        <f>0.881-0.208-0.15+0.017-0.048-0.048-0.096-0.189-0.047</f>
        <v>0.11200000000000009</v>
      </c>
    </row>
    <row r="30" spans="1:5" ht="28.5" hidden="1" x14ac:dyDescent="0.25">
      <c r="A30" s="36" t="s">
        <v>498</v>
      </c>
      <c r="B30" s="4" t="s">
        <v>4</v>
      </c>
      <c r="C30" s="8" t="s">
        <v>48</v>
      </c>
      <c r="D30" s="7" t="s">
        <v>53</v>
      </c>
      <c r="E30" s="25">
        <f>0.664-0.132-0.022</f>
        <v>0.51</v>
      </c>
    </row>
    <row r="31" spans="1:5" ht="28.5" hidden="1" x14ac:dyDescent="0.25">
      <c r="A31" s="36" t="s">
        <v>498</v>
      </c>
      <c r="B31" s="4" t="s">
        <v>4</v>
      </c>
      <c r="C31" s="8" t="s">
        <v>48</v>
      </c>
      <c r="D31" s="7" t="s">
        <v>56</v>
      </c>
      <c r="E31" s="25">
        <f>0.407-0.033-0.011-0.044-0.011-0.011-0.011-0.022-0.011-0.011-0.011-0.021-0.011-0.011-0.011+0.027</f>
        <v>0.2039999999999999</v>
      </c>
    </row>
    <row r="32" spans="1:5" hidden="1" x14ac:dyDescent="0.25">
      <c r="A32" s="36" t="s">
        <v>498</v>
      </c>
      <c r="B32" s="38" t="s">
        <v>4</v>
      </c>
      <c r="C32" s="38" t="s">
        <v>126</v>
      </c>
      <c r="D32" s="12" t="s">
        <v>53</v>
      </c>
      <c r="E32" s="39">
        <f>8.084-0.497-0.021-0.022-0.088-0.21-0.31-0.066-0.21-0.499-0.498-0.125-0.022-0.022-0.105-0.606-0.5-0.188-0.124-0.189-0.022-0.21-0.022-0.208-0.084-0.21-0.104-0.144-0.27</f>
        <v>2.5079999999999996</v>
      </c>
    </row>
    <row r="33" spans="1:5" hidden="1" x14ac:dyDescent="0.25">
      <c r="A33" s="36" t="s">
        <v>498</v>
      </c>
      <c r="B33" s="18" t="s">
        <v>6</v>
      </c>
      <c r="C33" s="13" t="s">
        <v>38</v>
      </c>
      <c r="D33" s="16" t="s">
        <v>40</v>
      </c>
      <c r="E33" s="37">
        <f>2.13-0.006-0.335-0.038</f>
        <v>1.7510000000000001</v>
      </c>
    </row>
    <row r="34" spans="1:5" hidden="1" x14ac:dyDescent="0.25">
      <c r="A34" s="36" t="s">
        <v>498</v>
      </c>
      <c r="B34" s="9" t="s">
        <v>6</v>
      </c>
      <c r="C34" s="8" t="s">
        <v>38</v>
      </c>
      <c r="D34" s="15" t="s">
        <v>94</v>
      </c>
      <c r="E34" s="23">
        <f>1.53-0.498-0.0035-0.0105-0.007-0.007-0.0035-0.023+0.0055-0.004</f>
        <v>0.97900000000000009</v>
      </c>
    </row>
    <row r="35" spans="1:5" hidden="1" x14ac:dyDescent="0.25">
      <c r="A35" s="36" t="s">
        <v>498</v>
      </c>
      <c r="B35" s="9" t="s">
        <v>6</v>
      </c>
      <c r="C35" s="8" t="s">
        <v>38</v>
      </c>
      <c r="D35" s="15" t="s">
        <v>47</v>
      </c>
      <c r="E35" s="23">
        <f>2-1.33-0.012-0.008+0.012-0.101-0.252</f>
        <v>0.30899999999999994</v>
      </c>
    </row>
    <row r="36" spans="1:5" hidden="1" x14ac:dyDescent="0.25">
      <c r="A36" s="36" t="s">
        <v>498</v>
      </c>
      <c r="B36" s="9" t="s">
        <v>6</v>
      </c>
      <c r="C36" s="8" t="s">
        <v>38</v>
      </c>
      <c r="D36" s="15" t="s">
        <v>47</v>
      </c>
      <c r="E36" s="23">
        <f>1.43</f>
        <v>1.43</v>
      </c>
    </row>
    <row r="37" spans="1:5" hidden="1" x14ac:dyDescent="0.25">
      <c r="A37" s="36" t="s">
        <v>498</v>
      </c>
      <c r="B37" s="9" t="s">
        <v>6</v>
      </c>
      <c r="C37" s="8" t="s">
        <v>38</v>
      </c>
      <c r="D37" s="15" t="s">
        <v>70</v>
      </c>
      <c r="E37" s="23">
        <f>0.692-0.0045-0.344-0.1-0.07-0.0045</f>
        <v>0.16900000000000001</v>
      </c>
    </row>
    <row r="38" spans="1:5" hidden="1" x14ac:dyDescent="0.25">
      <c r="A38" s="36" t="s">
        <v>498</v>
      </c>
      <c r="B38" s="9" t="s">
        <v>6</v>
      </c>
      <c r="C38" s="8" t="s">
        <v>38</v>
      </c>
      <c r="D38" s="15" t="s">
        <v>70</v>
      </c>
      <c r="E38" s="23">
        <f>1.935-0.0045</f>
        <v>1.9305000000000001</v>
      </c>
    </row>
    <row r="39" spans="1:5" ht="28.5" hidden="1" x14ac:dyDescent="0.25">
      <c r="A39" s="36" t="s">
        <v>498</v>
      </c>
      <c r="B39" s="9" t="s">
        <v>6</v>
      </c>
      <c r="C39" s="9" t="s">
        <v>147</v>
      </c>
      <c r="D39" s="6" t="s">
        <v>35</v>
      </c>
      <c r="E39" s="26">
        <f>18.04-0.019-0.15-2-0.019-0.1-0.298-0.038-0.019-0.019-0.035-0.05-0.795-0.038-0.057-0.983-0.499-0.314-0.022-0.113-0.038-0.996-1.014-0.019-0.294-0.497-1.49-0.037-0.019-0.236-0.495-0.019-0.019-0.019-0.293-0.038-0.188-0.019-0.019-0.019-0.498-0.057-0.146</f>
        <v>6.0029999999999966</v>
      </c>
    </row>
    <row r="40" spans="1:5" ht="28.5" hidden="1" x14ac:dyDescent="0.25">
      <c r="A40" s="36" t="s">
        <v>498</v>
      </c>
      <c r="B40" s="9" t="s">
        <v>6</v>
      </c>
      <c r="C40" s="9" t="s">
        <v>147</v>
      </c>
      <c r="D40" s="6" t="s">
        <v>35</v>
      </c>
      <c r="E40" s="26">
        <v>2.89</v>
      </c>
    </row>
    <row r="41" spans="1:5" ht="28.5" hidden="1" x14ac:dyDescent="0.25">
      <c r="A41" s="36" t="s">
        <v>498</v>
      </c>
      <c r="B41" s="9" t="s">
        <v>6</v>
      </c>
      <c r="C41" s="9" t="s">
        <v>147</v>
      </c>
      <c r="D41" s="6" t="s">
        <v>34</v>
      </c>
      <c r="E41" s="26">
        <f>11.05-0.024-0.352-0.024-0.024-3.71-3.188-3.059-0.06-0.199-0.022-0.045-0.024</f>
        <v>0.31900000000000261</v>
      </c>
    </row>
    <row r="42" spans="1:5" ht="28.5" hidden="1" x14ac:dyDescent="0.25">
      <c r="A42" s="36" t="s">
        <v>498</v>
      </c>
      <c r="B42" s="9" t="s">
        <v>6</v>
      </c>
      <c r="C42" s="9" t="s">
        <v>147</v>
      </c>
      <c r="D42" s="6" t="s">
        <v>34</v>
      </c>
      <c r="E42" s="26">
        <f>18.04</f>
        <v>18.04</v>
      </c>
    </row>
    <row r="43" spans="1:5" hidden="1" x14ac:dyDescent="0.25">
      <c r="A43" s="36" t="s">
        <v>498</v>
      </c>
      <c r="B43" s="9" t="s">
        <v>6</v>
      </c>
      <c r="C43" s="9" t="s">
        <v>118</v>
      </c>
      <c r="D43" s="6" t="s">
        <v>32</v>
      </c>
      <c r="E43" s="26">
        <f>10.92-0.143-0.03-8.22-1.882-0.28-0.03-0.058-0.029-0.198</f>
        <v>4.9999999999999295E-2</v>
      </c>
    </row>
    <row r="44" spans="1:5" hidden="1" x14ac:dyDescent="0.25">
      <c r="A44" s="36" t="s">
        <v>498</v>
      </c>
      <c r="B44" s="9" t="s">
        <v>6</v>
      </c>
      <c r="C44" s="9" t="s">
        <v>118</v>
      </c>
      <c r="D44" s="6" t="s">
        <v>32</v>
      </c>
      <c r="E44" s="26">
        <f>18.34-0.2-0.6</f>
        <v>17.54</v>
      </c>
    </row>
    <row r="45" spans="1:5" ht="28.5" hidden="1" x14ac:dyDescent="0.25">
      <c r="A45" s="36" t="s">
        <v>498</v>
      </c>
      <c r="B45" s="9" t="s">
        <v>6</v>
      </c>
      <c r="C45" s="9" t="s">
        <v>60</v>
      </c>
      <c r="D45" s="6" t="s">
        <v>37</v>
      </c>
      <c r="E45" s="26">
        <f>10.37</f>
        <v>10.37</v>
      </c>
    </row>
    <row r="46" spans="1:5" ht="28.5" hidden="1" x14ac:dyDescent="0.25">
      <c r="A46" s="36" t="s">
        <v>498</v>
      </c>
      <c r="B46" s="9" t="s">
        <v>6</v>
      </c>
      <c r="C46" s="9" t="s">
        <v>60</v>
      </c>
      <c r="D46" s="6" t="s">
        <v>37</v>
      </c>
      <c r="E46" s="26">
        <f>10.51-0.413-0.184-1.016-0.047-0.502-0.504</f>
        <v>7.8439999999999994</v>
      </c>
    </row>
    <row r="47" spans="1:5" ht="28.5" hidden="1" x14ac:dyDescent="0.25">
      <c r="A47" s="36" t="s">
        <v>498</v>
      </c>
      <c r="B47" s="9" t="s">
        <v>6</v>
      </c>
      <c r="C47" s="9" t="s">
        <v>60</v>
      </c>
      <c r="D47" s="6" t="s">
        <v>10</v>
      </c>
      <c r="E47" s="26">
        <v>2.4E-2</v>
      </c>
    </row>
    <row r="48" spans="1:5" ht="28.5" hidden="1" x14ac:dyDescent="0.25">
      <c r="A48" s="36" t="s">
        <v>498</v>
      </c>
      <c r="B48" s="9" t="s">
        <v>6</v>
      </c>
      <c r="C48" s="9" t="s">
        <v>60</v>
      </c>
      <c r="D48" s="6" t="s">
        <v>341</v>
      </c>
      <c r="E48" s="26">
        <v>1.6E-2</v>
      </c>
    </row>
    <row r="49" spans="1:5" ht="28.5" hidden="1" x14ac:dyDescent="0.25">
      <c r="A49" s="36" t="s">
        <v>498</v>
      </c>
      <c r="B49" s="9" t="s">
        <v>6</v>
      </c>
      <c r="C49" s="9" t="s">
        <v>60</v>
      </c>
      <c r="D49" s="6" t="s">
        <v>146</v>
      </c>
      <c r="E49" s="26">
        <f>21.21-2.066-0.296-0.175-0.118-0.816-0.52-0.519-0.289-0.519-0.346-2.98-0.526-0.236-0.882-0.294-0.584-0.118-0.408-0.52</f>
        <v>8.9980000000000047</v>
      </c>
    </row>
    <row r="50" spans="1:5" ht="28.5" hidden="1" x14ac:dyDescent="0.25">
      <c r="A50" s="36" t="s">
        <v>498</v>
      </c>
      <c r="B50" s="9" t="s">
        <v>6</v>
      </c>
      <c r="C50" s="9" t="s">
        <v>57</v>
      </c>
      <c r="D50" s="6" t="s">
        <v>54</v>
      </c>
      <c r="E50" s="26">
        <f>2.966-0.11-0.055-0.055</f>
        <v>2.746</v>
      </c>
    </row>
    <row r="51" spans="1:5" ht="28.5" hidden="1" x14ac:dyDescent="0.25">
      <c r="A51" s="36" t="s">
        <v>498</v>
      </c>
      <c r="B51" s="9" t="s">
        <v>6</v>
      </c>
      <c r="C51" s="9" t="s">
        <v>57</v>
      </c>
      <c r="D51" s="6" t="s">
        <v>129</v>
      </c>
      <c r="E51" s="26">
        <f>2.09-0.89-0.318-0.312</f>
        <v>0.56999999999999962</v>
      </c>
    </row>
    <row r="52" spans="1:5" ht="28.5" hidden="1" x14ac:dyDescent="0.25">
      <c r="A52" s="36" t="s">
        <v>498</v>
      </c>
      <c r="B52" s="1" t="s">
        <v>79</v>
      </c>
      <c r="C52" s="9" t="s">
        <v>205</v>
      </c>
      <c r="D52" s="3" t="s">
        <v>80</v>
      </c>
      <c r="E52" s="27">
        <f>0.278</f>
        <v>0.27800000000000002</v>
      </c>
    </row>
    <row r="53" spans="1:5" hidden="1" x14ac:dyDescent="0.25">
      <c r="A53" s="36" t="s">
        <v>498</v>
      </c>
      <c r="B53" s="1" t="s">
        <v>25</v>
      </c>
      <c r="C53" s="1" t="s">
        <v>51</v>
      </c>
      <c r="D53" s="3" t="s">
        <v>144</v>
      </c>
      <c r="E53" s="26">
        <f>9.52-4.98-0.995</f>
        <v>3.544999999999999</v>
      </c>
    </row>
    <row r="54" spans="1:5" hidden="1" x14ac:dyDescent="0.25">
      <c r="A54" s="36" t="s">
        <v>498</v>
      </c>
      <c r="B54" s="1" t="s">
        <v>25</v>
      </c>
      <c r="C54" s="1" t="s">
        <v>26</v>
      </c>
      <c r="D54" s="3" t="s">
        <v>13</v>
      </c>
      <c r="E54" s="28">
        <f>2.345-2.005-0.008-0.04-0.008</f>
        <v>0.28400000000000031</v>
      </c>
    </row>
    <row r="55" spans="1:5" hidden="1" x14ac:dyDescent="0.25">
      <c r="A55" s="36" t="s">
        <v>498</v>
      </c>
      <c r="B55" s="1" t="s">
        <v>25</v>
      </c>
      <c r="C55" s="1" t="s">
        <v>51</v>
      </c>
      <c r="D55" s="3" t="s">
        <v>31</v>
      </c>
      <c r="E55" s="28">
        <f>2.195-0.14-0.378-0.991-0.104-0.08-0.122-0.02-0.02-0.02</f>
        <v>0.31999999999999962</v>
      </c>
    </row>
    <row r="56" spans="1:5" hidden="1" x14ac:dyDescent="0.25">
      <c r="A56" s="36" t="s">
        <v>498</v>
      </c>
      <c r="B56" s="1" t="s">
        <v>25</v>
      </c>
      <c r="C56" s="1" t="s">
        <v>135</v>
      </c>
      <c r="D56" s="3" t="s">
        <v>134</v>
      </c>
      <c r="E56" s="28">
        <f>0.363-0.014-0.1</f>
        <v>0.24899999999999997</v>
      </c>
    </row>
    <row r="57" spans="1:5" hidden="1" x14ac:dyDescent="0.25">
      <c r="A57" s="36" t="s">
        <v>498</v>
      </c>
      <c r="B57" s="1" t="s">
        <v>25</v>
      </c>
      <c r="C57" s="9" t="s">
        <v>51</v>
      </c>
      <c r="D57" s="3" t="s">
        <v>63</v>
      </c>
      <c r="E57" s="26">
        <f>1.191-0.097-0.05-0.05-0.51-0.025-0.025-0.05-0.1</f>
        <v>0.28399999999999992</v>
      </c>
    </row>
    <row r="58" spans="1:5" hidden="1" x14ac:dyDescent="0.25">
      <c r="A58" s="36" t="s">
        <v>498</v>
      </c>
      <c r="B58" s="9" t="s">
        <v>29</v>
      </c>
      <c r="C58" s="9" t="s">
        <v>51</v>
      </c>
      <c r="D58" s="3" t="s">
        <v>197</v>
      </c>
      <c r="E58" s="26">
        <f>1.224-0.194-0.1</f>
        <v>0.93</v>
      </c>
    </row>
    <row r="59" spans="1:5" hidden="1" x14ac:dyDescent="0.25">
      <c r="A59" s="36" t="s">
        <v>498</v>
      </c>
      <c r="B59" s="9" t="s">
        <v>29</v>
      </c>
      <c r="C59" s="9" t="s">
        <v>51</v>
      </c>
      <c r="D59" s="3" t="s">
        <v>22</v>
      </c>
      <c r="E59" s="28">
        <f>1.764-0.188-0.062-0.128-0.314-0.065-0.502-0.062</f>
        <v>0.44300000000000012</v>
      </c>
    </row>
    <row r="60" spans="1:5" hidden="1" x14ac:dyDescent="0.25">
      <c r="A60" s="36" t="s">
        <v>498</v>
      </c>
      <c r="B60" s="9" t="s">
        <v>111</v>
      </c>
      <c r="C60" s="9" t="s">
        <v>51</v>
      </c>
      <c r="D60" s="3" t="s">
        <v>39</v>
      </c>
      <c r="E60" s="28">
        <f>4.215-0.074-0.075-0.518-0.075-1.768-0.075-0.222-0.074</f>
        <v>1.3339999999999999</v>
      </c>
    </row>
    <row r="61" spans="1:5" ht="28.5" hidden="1" x14ac:dyDescent="0.25">
      <c r="A61" s="36" t="s">
        <v>498</v>
      </c>
      <c r="B61" s="8" t="s">
        <v>30</v>
      </c>
      <c r="C61" s="15" t="s">
        <v>201</v>
      </c>
      <c r="D61" s="15" t="s">
        <v>47</v>
      </c>
      <c r="E61" s="23">
        <f>7.244-3.632-0.048-1.002</f>
        <v>2.5619999999999994</v>
      </c>
    </row>
    <row r="62" spans="1:5" ht="28.5" hidden="1" x14ac:dyDescent="0.25">
      <c r="A62" s="36" t="s">
        <v>498</v>
      </c>
      <c r="B62" s="8" t="s">
        <v>30</v>
      </c>
      <c r="C62" s="8" t="s">
        <v>43</v>
      </c>
      <c r="D62" s="15" t="s">
        <v>138</v>
      </c>
      <c r="E62" s="23">
        <f>0.474-0.016-0.032-0.048-0.112-0.178</f>
        <v>8.7999999999999967E-2</v>
      </c>
    </row>
    <row r="63" spans="1:5" ht="28.5" hidden="1" x14ac:dyDescent="0.25">
      <c r="A63" s="36" t="s">
        <v>498</v>
      </c>
      <c r="B63" s="8" t="s">
        <v>30</v>
      </c>
      <c r="C63" s="8" t="s">
        <v>43</v>
      </c>
      <c r="D63" s="15" t="s">
        <v>159</v>
      </c>
      <c r="E63" s="23">
        <f>1.929-0.115-0.114-0.306</f>
        <v>1.3939999999999999</v>
      </c>
    </row>
    <row r="64" spans="1:5" ht="28.5" hidden="1" x14ac:dyDescent="0.25">
      <c r="A64" s="36" t="s">
        <v>498</v>
      </c>
      <c r="B64" s="8" t="s">
        <v>30</v>
      </c>
      <c r="C64" s="8" t="s">
        <v>43</v>
      </c>
      <c r="D64" s="15" t="s">
        <v>139</v>
      </c>
      <c r="E64" s="23">
        <f>0.185</f>
        <v>0.185</v>
      </c>
    </row>
    <row r="65" spans="1:5" ht="28.5" hidden="1" x14ac:dyDescent="0.25">
      <c r="A65" s="36" t="s">
        <v>498</v>
      </c>
      <c r="B65" s="8" t="s">
        <v>30</v>
      </c>
      <c r="C65" s="8" t="s">
        <v>43</v>
      </c>
      <c r="D65" s="15" t="s">
        <v>55</v>
      </c>
      <c r="E65" s="23">
        <f>1.14-0.096-0.12-0.476-0.024</f>
        <v>0.42399999999999982</v>
      </c>
    </row>
    <row r="66" spans="1:5" ht="28.5" hidden="1" x14ac:dyDescent="0.25">
      <c r="A66" s="36" t="s">
        <v>498</v>
      </c>
      <c r="B66" s="8" t="s">
        <v>30</v>
      </c>
      <c r="C66" s="8" t="s">
        <v>43</v>
      </c>
      <c r="D66" s="15" t="s">
        <v>7</v>
      </c>
      <c r="E66" s="23">
        <f>1.123</f>
        <v>1.123</v>
      </c>
    </row>
    <row r="67" spans="1:5" ht="28.5" hidden="1" x14ac:dyDescent="0.25">
      <c r="A67" s="36" t="s">
        <v>498</v>
      </c>
      <c r="B67" s="8" t="s">
        <v>30</v>
      </c>
      <c r="C67" s="8" t="s">
        <v>43</v>
      </c>
      <c r="D67" s="15" t="s">
        <v>7</v>
      </c>
      <c r="E67" s="23">
        <f>1.118-0.032-0.83</f>
        <v>0.25600000000000012</v>
      </c>
    </row>
    <row r="68" spans="1:5" ht="28.5" hidden="1" x14ac:dyDescent="0.25">
      <c r="A68" s="36" t="s">
        <v>498</v>
      </c>
      <c r="B68" s="8" t="s">
        <v>30</v>
      </c>
      <c r="C68" s="8" t="s">
        <v>43</v>
      </c>
      <c r="D68" s="15" t="s">
        <v>8</v>
      </c>
      <c r="E68" s="23">
        <f>2.24-0.095-0.336-0.522-0.048</f>
        <v>1.2389999999999999</v>
      </c>
    </row>
    <row r="69" spans="1:5" hidden="1" x14ac:dyDescent="0.25">
      <c r="A69" s="36" t="s">
        <v>498</v>
      </c>
      <c r="B69" s="1" t="s">
        <v>17</v>
      </c>
      <c r="C69" s="2" t="s">
        <v>141</v>
      </c>
      <c r="D69" s="15" t="s">
        <v>66</v>
      </c>
      <c r="E69" s="23">
        <f>2.864-0.506-0.027</f>
        <v>2.3309999999999995</v>
      </c>
    </row>
    <row r="70" spans="1:5" hidden="1" x14ac:dyDescent="0.25">
      <c r="A70" s="36" t="s">
        <v>498</v>
      </c>
      <c r="B70" s="1" t="s">
        <v>17</v>
      </c>
      <c r="C70" s="2" t="s">
        <v>141</v>
      </c>
      <c r="D70" s="15" t="s">
        <v>130</v>
      </c>
      <c r="E70" s="23">
        <f>2.69-0.007-0.214-0.028-0.007-0.007</f>
        <v>2.4269999999999996</v>
      </c>
    </row>
    <row r="71" spans="1:5" hidden="1" x14ac:dyDescent="0.25">
      <c r="A71" s="36" t="s">
        <v>498</v>
      </c>
      <c r="B71" s="1" t="s">
        <v>17</v>
      </c>
      <c r="C71" s="2" t="s">
        <v>141</v>
      </c>
      <c r="D71" s="15" t="s">
        <v>59</v>
      </c>
      <c r="E71" s="23">
        <f>2.904-0.295</f>
        <v>2.609</v>
      </c>
    </row>
    <row r="72" spans="1:5" hidden="1" x14ac:dyDescent="0.25">
      <c r="A72" s="36" t="s">
        <v>498</v>
      </c>
      <c r="B72" s="1" t="s">
        <v>17</v>
      </c>
      <c r="C72" s="2" t="s">
        <v>141</v>
      </c>
      <c r="D72" s="15" t="s">
        <v>49</v>
      </c>
      <c r="E72" s="23">
        <f>2.431-0.011-0.011-0.011-0.044-0.011-0.011-0.044-0.11-0.094-0.033-0.011</f>
        <v>2.0399999999999996</v>
      </c>
    </row>
    <row r="73" spans="1:5" hidden="1" x14ac:dyDescent="0.25">
      <c r="A73" s="36" t="s">
        <v>498</v>
      </c>
      <c r="B73" s="1" t="s">
        <v>17</v>
      </c>
      <c r="C73" s="2" t="s">
        <v>141</v>
      </c>
      <c r="D73" s="3" t="s">
        <v>131</v>
      </c>
      <c r="E73" s="26">
        <f>3.07-0.097-0.152-0.301</f>
        <v>2.5199999999999996</v>
      </c>
    </row>
    <row r="74" spans="1:5" hidden="1" x14ac:dyDescent="0.25">
      <c r="A74" s="36" t="s">
        <v>498</v>
      </c>
      <c r="B74" s="1" t="s">
        <v>105</v>
      </c>
      <c r="C74" s="2" t="s">
        <v>132</v>
      </c>
      <c r="D74" s="3" t="s">
        <v>66</v>
      </c>
      <c r="E74" s="26">
        <f>4.478-2.187-0.106</f>
        <v>2.1850000000000001</v>
      </c>
    </row>
    <row r="75" spans="1:5" hidden="1" x14ac:dyDescent="0.25">
      <c r="A75" s="36" t="s">
        <v>498</v>
      </c>
      <c r="B75" s="1" t="s">
        <v>105</v>
      </c>
      <c r="C75" s="2" t="s">
        <v>132</v>
      </c>
      <c r="D75" s="3" t="s">
        <v>130</v>
      </c>
      <c r="E75" s="26">
        <f>1.874-0.056</f>
        <v>1.8180000000000001</v>
      </c>
    </row>
    <row r="76" spans="1:5" hidden="1" x14ac:dyDescent="0.25">
      <c r="A76" s="36" t="s">
        <v>498</v>
      </c>
      <c r="B76" s="1" t="s">
        <v>105</v>
      </c>
      <c r="C76" s="2" t="s">
        <v>242</v>
      </c>
      <c r="D76" s="3" t="s">
        <v>148</v>
      </c>
      <c r="E76" s="26">
        <f>19.1-9.77-1.996-0.057</f>
        <v>7.277000000000001</v>
      </c>
    </row>
    <row r="77" spans="1:5" hidden="1" x14ac:dyDescent="0.25">
      <c r="A77" s="36" t="s">
        <v>498</v>
      </c>
      <c r="B77" s="1" t="s">
        <v>105</v>
      </c>
      <c r="C77" s="2" t="s">
        <v>242</v>
      </c>
      <c r="D77" s="3" t="s">
        <v>34</v>
      </c>
      <c r="E77" s="26">
        <f>14.73-9.5</f>
        <v>5.23</v>
      </c>
    </row>
    <row r="78" spans="1:5" hidden="1" x14ac:dyDescent="0.25">
      <c r="A78" s="36" t="s">
        <v>498</v>
      </c>
      <c r="B78" s="1" t="s">
        <v>105</v>
      </c>
      <c r="C78" s="2" t="s">
        <v>132</v>
      </c>
      <c r="D78" s="3" t="s">
        <v>112</v>
      </c>
      <c r="E78" s="28">
        <f>6.564-3.497-0.7-0.01-0.806-0.002-0.401</f>
        <v>1.1480000000000001</v>
      </c>
    </row>
    <row r="79" spans="1:5" hidden="1" x14ac:dyDescent="0.25">
      <c r="A79" s="36" t="s">
        <v>498</v>
      </c>
      <c r="B79" s="1" t="s">
        <v>105</v>
      </c>
      <c r="C79" s="2" t="s">
        <v>242</v>
      </c>
      <c r="D79" s="3" t="s">
        <v>214</v>
      </c>
      <c r="E79" s="28">
        <f>4.1</f>
        <v>4.0999999999999996</v>
      </c>
    </row>
    <row r="80" spans="1:5" hidden="1" x14ac:dyDescent="0.25">
      <c r="A80" s="36" t="s">
        <v>498</v>
      </c>
      <c r="B80" s="1" t="s">
        <v>95</v>
      </c>
      <c r="C80" s="2" t="s">
        <v>132</v>
      </c>
      <c r="D80" s="15" t="s">
        <v>97</v>
      </c>
      <c r="E80" s="23">
        <f>2.89-0.012</f>
        <v>2.8780000000000001</v>
      </c>
    </row>
    <row r="81" spans="1:5" ht="28.5" hidden="1" x14ac:dyDescent="0.25">
      <c r="A81" s="22" t="s">
        <v>499</v>
      </c>
      <c r="B81" s="2" t="s">
        <v>4</v>
      </c>
      <c r="C81" s="9" t="s">
        <v>99</v>
      </c>
      <c r="D81" s="3" t="s">
        <v>127</v>
      </c>
      <c r="E81" s="25">
        <f>0.029</f>
        <v>2.9000000000000001E-2</v>
      </c>
    </row>
    <row r="82" spans="1:5" ht="28.5" hidden="1" x14ac:dyDescent="0.25">
      <c r="A82" s="22" t="s">
        <v>499</v>
      </c>
      <c r="B82" s="9" t="s">
        <v>4</v>
      </c>
      <c r="C82" s="9" t="s">
        <v>99</v>
      </c>
      <c r="D82" s="9" t="s">
        <v>7</v>
      </c>
      <c r="E82" s="27">
        <f>4.743-2-1.517-0.064</f>
        <v>1.1620000000000004</v>
      </c>
    </row>
    <row r="83" spans="1:5" ht="28.5" hidden="1" x14ac:dyDescent="0.25">
      <c r="A83" s="22" t="s">
        <v>499</v>
      </c>
      <c r="B83" s="9" t="s">
        <v>4</v>
      </c>
      <c r="C83" s="9" t="s">
        <v>445</v>
      </c>
      <c r="D83" s="9" t="s">
        <v>7</v>
      </c>
      <c r="E83" s="27">
        <f>2.18</f>
        <v>2.1800000000000002</v>
      </c>
    </row>
    <row r="84" spans="1:5" ht="28.5" hidden="1" x14ac:dyDescent="0.25">
      <c r="A84" s="22" t="s">
        <v>499</v>
      </c>
      <c r="B84" s="2" t="s">
        <v>4</v>
      </c>
      <c r="C84" s="2" t="s">
        <v>20</v>
      </c>
      <c r="D84" s="6" t="s">
        <v>10</v>
      </c>
      <c r="E84" s="25">
        <f>1.93-0.026-0.026-0.026-0.175-0.025-0.025-0.1-0.025-0.025-0.29-0.051-1.004-0.026-0.022-0.048+0.014-0.034</f>
        <v>1.6000000000000125E-2</v>
      </c>
    </row>
    <row r="85" spans="1:5" ht="28.5" hidden="1" x14ac:dyDescent="0.25">
      <c r="A85" s="22" t="s">
        <v>499</v>
      </c>
      <c r="B85" s="9" t="s">
        <v>4</v>
      </c>
      <c r="C85" s="9" t="s">
        <v>167</v>
      </c>
      <c r="D85" s="11" t="s">
        <v>5</v>
      </c>
      <c r="E85" s="27">
        <f>4.935-0.08-0.245-0.04-0.04-0.516</f>
        <v>4.0139999999999993</v>
      </c>
    </row>
    <row r="86" spans="1:5" ht="28.5" hidden="1" x14ac:dyDescent="0.25">
      <c r="A86" s="22" t="s">
        <v>499</v>
      </c>
      <c r="B86" s="9" t="s">
        <v>4</v>
      </c>
      <c r="C86" s="9" t="s">
        <v>167</v>
      </c>
      <c r="D86" s="9" t="s">
        <v>8</v>
      </c>
      <c r="E86" s="27">
        <f>9.783-0.048</f>
        <v>9.7349999999999994</v>
      </c>
    </row>
    <row r="87" spans="1:5" ht="28.5" hidden="1" x14ac:dyDescent="0.25">
      <c r="A87" s="22" t="s">
        <v>499</v>
      </c>
      <c r="B87" s="2" t="s">
        <v>4</v>
      </c>
      <c r="C87" s="9" t="s">
        <v>167</v>
      </c>
      <c r="D87" s="3" t="s">
        <v>165</v>
      </c>
      <c r="E87" s="25">
        <f>10.78-0.074-0.435-0.145-0.36-0.866-0.146-4.892-0.146-0.076-0.072-0.432-0.506-0.216-0.074-0.502-0.356-0.072-0.072-0.072-0.214-0.356</f>
        <v>0.69599999999999873</v>
      </c>
    </row>
    <row r="88" spans="1:5" ht="28.5" hidden="1" x14ac:dyDescent="0.25">
      <c r="A88" s="22" t="s">
        <v>499</v>
      </c>
      <c r="B88" s="2" t="s">
        <v>4</v>
      </c>
      <c r="C88" s="9" t="s">
        <v>167</v>
      </c>
      <c r="D88" s="3" t="s">
        <v>146</v>
      </c>
      <c r="E88" s="25">
        <f>19.25-2.395-3.174-0.12-2.02-2.26-9-0.244</f>
        <v>3.7000000000002364E-2</v>
      </c>
    </row>
    <row r="89" spans="1:5" ht="28.5" hidden="1" x14ac:dyDescent="0.25">
      <c r="A89" s="22" t="s">
        <v>499</v>
      </c>
      <c r="B89" s="2" t="s">
        <v>4</v>
      </c>
      <c r="C89" s="1" t="s">
        <v>42</v>
      </c>
      <c r="D89" s="3" t="s">
        <v>9</v>
      </c>
      <c r="E89" s="26">
        <f>2.975-0.202-0.068-0.134</f>
        <v>2.5710000000000002</v>
      </c>
    </row>
    <row r="90" spans="1:5" ht="28.5" hidden="1" x14ac:dyDescent="0.25">
      <c r="A90" s="22" t="s">
        <v>499</v>
      </c>
      <c r="B90" s="2" t="s">
        <v>4</v>
      </c>
      <c r="C90" s="1" t="s">
        <v>42</v>
      </c>
      <c r="D90" s="6" t="s">
        <v>72</v>
      </c>
      <c r="E90" s="26">
        <f>8.39-1.865-4.5-0.08-0.079</f>
        <v>1.8660000000000003</v>
      </c>
    </row>
    <row r="91" spans="1:5" ht="28.5" hidden="1" x14ac:dyDescent="0.25">
      <c r="A91" s="22" t="s">
        <v>499</v>
      </c>
      <c r="B91" s="1" t="s">
        <v>4</v>
      </c>
      <c r="C91" s="1" t="s">
        <v>42</v>
      </c>
      <c r="D91" s="6" t="s">
        <v>88</v>
      </c>
      <c r="E91" s="26">
        <f>5.015-0.199-3-0.196-0.095-0.098-0.29-0.094-0.094</f>
        <v>0.94899999999999973</v>
      </c>
    </row>
    <row r="92" spans="1:5" ht="28.5" hidden="1" x14ac:dyDescent="0.25">
      <c r="A92" s="22" t="s">
        <v>499</v>
      </c>
      <c r="B92" s="1" t="s">
        <v>4</v>
      </c>
      <c r="C92" s="1" t="s">
        <v>133</v>
      </c>
      <c r="D92" s="6" t="s">
        <v>88</v>
      </c>
      <c r="E92" s="26">
        <f>5.05</f>
        <v>5.05</v>
      </c>
    </row>
    <row r="93" spans="1:5" ht="28.5" hidden="1" x14ac:dyDescent="0.25">
      <c r="A93" s="22" t="s">
        <v>499</v>
      </c>
      <c r="B93" s="1" t="s">
        <v>4</v>
      </c>
      <c r="C93" s="1" t="s">
        <v>133</v>
      </c>
      <c r="D93" s="6" t="s">
        <v>209</v>
      </c>
      <c r="E93" s="28">
        <f>3.16-0.198-0.198</f>
        <v>2.7640000000000002</v>
      </c>
    </row>
    <row r="94" spans="1:5" ht="28.5" hidden="1" x14ac:dyDescent="0.25">
      <c r="A94" s="22" t="s">
        <v>499</v>
      </c>
      <c r="B94" s="1" t="s">
        <v>4</v>
      </c>
      <c r="C94" s="1" t="s">
        <v>42</v>
      </c>
      <c r="D94" s="6" t="s">
        <v>207</v>
      </c>
      <c r="E94" s="26">
        <f>4.92-1.214-0.24-0.492-0.248</f>
        <v>2.726</v>
      </c>
    </row>
    <row r="95" spans="1:5" ht="28.5" hidden="1" x14ac:dyDescent="0.25">
      <c r="A95" s="22" t="s">
        <v>499</v>
      </c>
      <c r="B95" s="1" t="s">
        <v>4</v>
      </c>
      <c r="C95" s="1" t="s">
        <v>447</v>
      </c>
      <c r="D95" s="6" t="s">
        <v>36</v>
      </c>
      <c r="E95" s="26">
        <f>1.137</f>
        <v>1.137</v>
      </c>
    </row>
    <row r="96" spans="1:5" ht="28.5" hidden="1" x14ac:dyDescent="0.25">
      <c r="A96" s="22" t="s">
        <v>499</v>
      </c>
      <c r="B96" s="1" t="s">
        <v>24</v>
      </c>
      <c r="C96" s="15" t="s">
        <v>102</v>
      </c>
      <c r="D96" s="6" t="s">
        <v>7</v>
      </c>
      <c r="E96" s="26">
        <f>4-1.448-0.032-0.032-0.03-0.032-0.157-0.062-0.032-0.032</f>
        <v>2.1430000000000002</v>
      </c>
    </row>
    <row r="97" spans="1:5" ht="28.5" hidden="1" x14ac:dyDescent="0.25">
      <c r="A97" s="22" t="s">
        <v>499</v>
      </c>
      <c r="B97" s="1" t="s">
        <v>24</v>
      </c>
      <c r="C97" s="15" t="s">
        <v>102</v>
      </c>
      <c r="D97" s="6" t="s">
        <v>8</v>
      </c>
      <c r="E97" s="26">
        <f>4.26-0.113</f>
        <v>4.1469999999999994</v>
      </c>
    </row>
    <row r="98" spans="1:5" ht="28.5" hidden="1" x14ac:dyDescent="0.25">
      <c r="A98" s="22" t="s">
        <v>499</v>
      </c>
      <c r="B98" s="1" t="s">
        <v>24</v>
      </c>
      <c r="C98" s="15" t="s">
        <v>102</v>
      </c>
      <c r="D98" s="6" t="s">
        <v>9</v>
      </c>
      <c r="E98" s="26">
        <f>3.91-0.45-0.126-0.126-1.018-0.128-0.316-0.063-0.128</f>
        <v>1.5550000000000002</v>
      </c>
    </row>
    <row r="99" spans="1:5" ht="28.5" hidden="1" x14ac:dyDescent="0.25">
      <c r="A99" s="22" t="s">
        <v>499</v>
      </c>
      <c r="B99" s="1" t="s">
        <v>24</v>
      </c>
      <c r="C99" s="15" t="s">
        <v>102</v>
      </c>
      <c r="D99" s="6" t="s">
        <v>9</v>
      </c>
      <c r="E99" s="26">
        <f>4.025</f>
        <v>4.0250000000000004</v>
      </c>
    </row>
    <row r="100" spans="1:5" ht="28.5" hidden="1" x14ac:dyDescent="0.25">
      <c r="A100" s="22" t="s">
        <v>499</v>
      </c>
      <c r="B100" s="1" t="s">
        <v>24</v>
      </c>
      <c r="C100" s="15" t="s">
        <v>102</v>
      </c>
      <c r="D100" s="6" t="s">
        <v>136</v>
      </c>
      <c r="E100" s="26">
        <f>3.8-0.352-0.35-0.326-0.355</f>
        <v>2.4169999999999998</v>
      </c>
    </row>
    <row r="101" spans="1:5" ht="28.5" hidden="1" x14ac:dyDescent="0.25">
      <c r="A101" s="22" t="s">
        <v>499</v>
      </c>
      <c r="B101" s="1" t="s">
        <v>24</v>
      </c>
      <c r="C101" s="15" t="s">
        <v>102</v>
      </c>
      <c r="D101" s="6" t="s">
        <v>373</v>
      </c>
      <c r="E101" s="26">
        <f>0.316-0.016-0.12+0.01-0.024</f>
        <v>0.16600000000000001</v>
      </c>
    </row>
    <row r="102" spans="1:5" ht="28.5" hidden="1" x14ac:dyDescent="0.25">
      <c r="A102" s="22" t="s">
        <v>499</v>
      </c>
      <c r="B102" s="1" t="s">
        <v>24</v>
      </c>
      <c r="C102" s="15" t="s">
        <v>102</v>
      </c>
      <c r="D102" s="6" t="s">
        <v>471</v>
      </c>
      <c r="E102" s="26">
        <f>0.407-0.032-0.018-0.048+0.001-0.018-0.213</f>
        <v>7.8999999999999987E-2</v>
      </c>
    </row>
    <row r="103" spans="1:5" ht="28.5" hidden="1" x14ac:dyDescent="0.25">
      <c r="A103" s="22" t="s">
        <v>499</v>
      </c>
      <c r="B103" s="1" t="s">
        <v>24</v>
      </c>
      <c r="C103" s="15" t="s">
        <v>102</v>
      </c>
      <c r="D103" s="6" t="s">
        <v>64</v>
      </c>
      <c r="E103" s="26">
        <f>10.77-0.41-0.404-0.814-0.418</f>
        <v>8.7240000000000002</v>
      </c>
    </row>
    <row r="104" spans="1:5" ht="28.5" hidden="1" x14ac:dyDescent="0.25">
      <c r="A104" s="22" t="s">
        <v>499</v>
      </c>
      <c r="B104" s="1" t="s">
        <v>24</v>
      </c>
      <c r="C104" s="15" t="s">
        <v>102</v>
      </c>
      <c r="D104" s="6" t="s">
        <v>255</v>
      </c>
      <c r="E104" s="26">
        <f>2.26-0.564-0.564</f>
        <v>1.1319999999999997</v>
      </c>
    </row>
    <row r="105" spans="1:5" ht="28.5" hidden="1" x14ac:dyDescent="0.25">
      <c r="A105" s="22" t="s">
        <v>499</v>
      </c>
      <c r="B105" s="1" t="s">
        <v>24</v>
      </c>
      <c r="C105" s="15" t="s">
        <v>102</v>
      </c>
      <c r="D105" s="6" t="s">
        <v>472</v>
      </c>
      <c r="E105" s="26">
        <f>0.564-0.047</f>
        <v>0.5169999999999999</v>
      </c>
    </row>
    <row r="106" spans="1:5" ht="28.5" hidden="1" x14ac:dyDescent="0.25">
      <c r="A106" s="22" t="s">
        <v>499</v>
      </c>
      <c r="B106" s="1" t="s">
        <v>24</v>
      </c>
      <c r="C106" s="15" t="s">
        <v>102</v>
      </c>
      <c r="D106" s="6" t="s">
        <v>323</v>
      </c>
      <c r="E106" s="26">
        <f>4.41-1.106</f>
        <v>3.3040000000000003</v>
      </c>
    </row>
    <row r="107" spans="1:5" ht="28.5" hidden="1" x14ac:dyDescent="0.25">
      <c r="A107" s="22" t="s">
        <v>499</v>
      </c>
      <c r="B107" s="1" t="s">
        <v>24</v>
      </c>
      <c r="C107" s="15" t="s">
        <v>102</v>
      </c>
      <c r="D107" s="5" t="s">
        <v>12</v>
      </c>
      <c r="E107" s="26">
        <f>4.27-0.716-0.714-0.715-0.71</f>
        <v>1.4149999999999996</v>
      </c>
    </row>
    <row r="108" spans="1:5" ht="28.5" hidden="1" x14ac:dyDescent="0.25">
      <c r="A108" s="22" t="s">
        <v>499</v>
      </c>
      <c r="B108" s="1" t="s">
        <v>24</v>
      </c>
      <c r="C108" s="15" t="s">
        <v>102</v>
      </c>
      <c r="D108" s="5" t="s">
        <v>257</v>
      </c>
      <c r="E108" s="26">
        <f>0.714-0.356</f>
        <v>0.35799999999999998</v>
      </c>
    </row>
    <row r="109" spans="1:5" ht="28.5" hidden="1" x14ac:dyDescent="0.25">
      <c r="A109" s="22" t="s">
        <v>499</v>
      </c>
      <c r="B109" s="1" t="s">
        <v>24</v>
      </c>
      <c r="C109" s="15" t="s">
        <v>102</v>
      </c>
      <c r="D109" s="5" t="s">
        <v>336</v>
      </c>
      <c r="E109" s="26">
        <f>0.69-0.066-0.3-0.156</f>
        <v>0.1679999999999999</v>
      </c>
    </row>
    <row r="110" spans="1:5" ht="28.5" hidden="1" x14ac:dyDescent="0.25">
      <c r="A110" s="22" t="s">
        <v>499</v>
      </c>
      <c r="B110" s="1" t="s">
        <v>24</v>
      </c>
      <c r="C110" s="15" t="s">
        <v>102</v>
      </c>
      <c r="D110" s="5" t="s">
        <v>439</v>
      </c>
      <c r="E110" s="26">
        <f>0.82-0.2-0.118+0.03-0.038-0.284</f>
        <v>0.20999999999999996</v>
      </c>
    </row>
    <row r="111" spans="1:5" ht="28.5" hidden="1" x14ac:dyDescent="0.25">
      <c r="A111" s="22" t="s">
        <v>499</v>
      </c>
      <c r="B111" s="1" t="s">
        <v>24</v>
      </c>
      <c r="C111" s="15" t="s">
        <v>102</v>
      </c>
      <c r="D111" s="5" t="s">
        <v>61</v>
      </c>
      <c r="E111" s="26">
        <f>6.75-1.698-1.69</f>
        <v>3.3619999999999997</v>
      </c>
    </row>
    <row r="112" spans="1:5" ht="28.5" hidden="1" x14ac:dyDescent="0.25">
      <c r="A112" s="22" t="s">
        <v>499</v>
      </c>
      <c r="B112" s="1" t="s">
        <v>24</v>
      </c>
      <c r="C112" s="15" t="s">
        <v>102</v>
      </c>
      <c r="D112" s="5" t="s">
        <v>90</v>
      </c>
      <c r="E112" s="26">
        <f>3.91-0.982-0.979</f>
        <v>1.9489999999999998</v>
      </c>
    </row>
    <row r="113" spans="1:5" ht="28.5" hidden="1" x14ac:dyDescent="0.25">
      <c r="A113" s="22" t="s">
        <v>499</v>
      </c>
      <c r="B113" s="1" t="s">
        <v>24</v>
      </c>
      <c r="C113" s="15" t="s">
        <v>102</v>
      </c>
      <c r="D113" s="5" t="s">
        <v>263</v>
      </c>
      <c r="E113" s="26">
        <f>0.982-0.042-0.082</f>
        <v>0.85799999999999998</v>
      </c>
    </row>
    <row r="114" spans="1:5" ht="28.5" hidden="1" x14ac:dyDescent="0.25">
      <c r="A114" s="22" t="s">
        <v>499</v>
      </c>
      <c r="B114" s="1" t="s">
        <v>24</v>
      </c>
      <c r="C114" s="15" t="s">
        <v>102</v>
      </c>
      <c r="D114" s="6" t="s">
        <v>343</v>
      </c>
      <c r="E114" s="26">
        <f>1.122-0.048-0.244-0.002-0.248+0.004-0.172-0.17-0.002</f>
        <v>0.24000000000000007</v>
      </c>
    </row>
    <row r="115" spans="1:5" ht="28.5" hidden="1" x14ac:dyDescent="0.25">
      <c r="A115" s="22" t="s">
        <v>499</v>
      </c>
      <c r="B115" s="1" t="s">
        <v>24</v>
      </c>
      <c r="C115" s="15" t="s">
        <v>102</v>
      </c>
      <c r="D115" s="6" t="s">
        <v>358</v>
      </c>
      <c r="E115" s="26">
        <f>16.71</f>
        <v>16.71</v>
      </c>
    </row>
    <row r="116" spans="1:5" ht="42.75" hidden="1" x14ac:dyDescent="0.25">
      <c r="A116" s="22" t="s">
        <v>499</v>
      </c>
      <c r="B116" s="1" t="s">
        <v>6</v>
      </c>
      <c r="C116" s="1" t="s">
        <v>41</v>
      </c>
      <c r="D116" s="3" t="s">
        <v>7</v>
      </c>
      <c r="E116" s="26">
        <f>3.62-0.964-0.033-0.5-0.064-0.03-0.308-0.032-0.992-0.032-0.032-0.032-0.031</f>
        <v>0.57000000000000017</v>
      </c>
    </row>
    <row r="117" spans="1:5" ht="42.75" hidden="1" x14ac:dyDescent="0.25">
      <c r="A117" s="22" t="s">
        <v>499</v>
      </c>
      <c r="B117" s="1" t="s">
        <v>6</v>
      </c>
      <c r="C117" s="1" t="s">
        <v>41</v>
      </c>
      <c r="D117" s="3" t="s">
        <v>267</v>
      </c>
      <c r="E117" s="26">
        <f>0.196</f>
        <v>0.19600000000000001</v>
      </c>
    </row>
    <row r="118" spans="1:5" ht="42.75" hidden="1" x14ac:dyDescent="0.25">
      <c r="A118" s="22" t="s">
        <v>499</v>
      </c>
      <c r="B118" s="1" t="s">
        <v>6</v>
      </c>
      <c r="C118" s="1" t="s">
        <v>41</v>
      </c>
      <c r="D118" s="9" t="s">
        <v>5</v>
      </c>
      <c r="E118" s="26">
        <f>4.09-0.042-0.242-0.04-1.516</f>
        <v>2.25</v>
      </c>
    </row>
    <row r="119" spans="1:5" ht="42.75" hidden="1" x14ac:dyDescent="0.25">
      <c r="A119" s="22" t="s">
        <v>499</v>
      </c>
      <c r="B119" s="1" t="s">
        <v>6</v>
      </c>
      <c r="C119" s="1" t="s">
        <v>41</v>
      </c>
      <c r="D119" s="9" t="s">
        <v>140</v>
      </c>
      <c r="E119" s="26">
        <f>5.54-0.345-0.098-3.298-0.197-0.388-0.095-0.096-0.1-0.098-0.05-0.148-0.298-0.146-0.098-0.048-0.006</f>
        <v>3.1000000000000354E-2</v>
      </c>
    </row>
    <row r="120" spans="1:5" ht="42.75" hidden="1" x14ac:dyDescent="0.25">
      <c r="A120" s="22" t="s">
        <v>499</v>
      </c>
      <c r="B120" s="1" t="s">
        <v>6</v>
      </c>
      <c r="C120" s="1" t="s">
        <v>41</v>
      </c>
      <c r="D120" s="9" t="s">
        <v>119</v>
      </c>
      <c r="E120" s="26">
        <f>0.197-0.147</f>
        <v>5.0000000000000017E-2</v>
      </c>
    </row>
    <row r="121" spans="1:5" ht="42.75" hidden="1" x14ac:dyDescent="0.25">
      <c r="A121" s="22" t="s">
        <v>499</v>
      </c>
      <c r="B121" s="1" t="s">
        <v>6</v>
      </c>
      <c r="C121" s="1" t="s">
        <v>122</v>
      </c>
      <c r="D121" s="9" t="s">
        <v>119</v>
      </c>
      <c r="E121" s="26">
        <f>7.828-0.6-3.014-0.047-0.047-0.052-0.092-0.512+0.6-0.047-0.187-0.048-0.048</f>
        <v>3.7340000000000013</v>
      </c>
    </row>
    <row r="122" spans="1:5" ht="42.75" hidden="1" x14ac:dyDescent="0.25">
      <c r="A122" s="22" t="s">
        <v>499</v>
      </c>
      <c r="B122" s="1" t="s">
        <v>6</v>
      </c>
      <c r="C122" s="1" t="s">
        <v>122</v>
      </c>
      <c r="D122" s="9" t="s">
        <v>268</v>
      </c>
      <c r="E122" s="26">
        <f>0.082</f>
        <v>8.2000000000000003E-2</v>
      </c>
    </row>
    <row r="123" spans="1:5" ht="42.75" hidden="1" x14ac:dyDescent="0.25">
      <c r="A123" s="22" t="s">
        <v>499</v>
      </c>
      <c r="B123" s="1" t="s">
        <v>6</v>
      </c>
      <c r="C123" s="1" t="s">
        <v>122</v>
      </c>
      <c r="D123" s="9" t="s">
        <v>269</v>
      </c>
      <c r="E123" s="26">
        <f>0.154</f>
        <v>0.154</v>
      </c>
    </row>
    <row r="124" spans="1:5" ht="42.75" hidden="1" x14ac:dyDescent="0.25">
      <c r="A124" s="22" t="s">
        <v>499</v>
      </c>
      <c r="B124" s="1" t="s">
        <v>6</v>
      </c>
      <c r="C124" s="1" t="s">
        <v>122</v>
      </c>
      <c r="D124" s="9" t="s">
        <v>270</v>
      </c>
      <c r="E124" s="26">
        <f>0.498</f>
        <v>0.498</v>
      </c>
    </row>
    <row r="125" spans="1:5" ht="42.75" hidden="1" x14ac:dyDescent="0.25">
      <c r="A125" s="22" t="s">
        <v>499</v>
      </c>
      <c r="B125" s="1" t="s">
        <v>6</v>
      </c>
      <c r="C125" s="1" t="s">
        <v>442</v>
      </c>
      <c r="D125" s="9" t="s">
        <v>9</v>
      </c>
      <c r="E125" s="26">
        <f>10.598-6.972-0.062-0.186-0.5-0.064-0.124-0.062-0.832-0.37</f>
        <v>1.4260000000000006</v>
      </c>
    </row>
    <row r="126" spans="1:5" ht="42.75" hidden="1" x14ac:dyDescent="0.25">
      <c r="A126" s="22" t="s">
        <v>499</v>
      </c>
      <c r="B126" s="1" t="s">
        <v>6</v>
      </c>
      <c r="C126" s="9" t="s">
        <v>252</v>
      </c>
      <c r="D126" s="3" t="s">
        <v>253</v>
      </c>
      <c r="E126" s="26">
        <f>4.845-0.112-0.222-0.118</f>
        <v>4.3929999999999989</v>
      </c>
    </row>
    <row r="127" spans="1:5" ht="42.75" hidden="1" x14ac:dyDescent="0.25">
      <c r="A127" s="22" t="s">
        <v>499</v>
      </c>
      <c r="B127" s="1" t="s">
        <v>6</v>
      </c>
      <c r="C127" s="9" t="s">
        <v>124</v>
      </c>
      <c r="D127" s="3" t="s">
        <v>136</v>
      </c>
      <c r="E127" s="26">
        <f>8.42-0.354-0.364</f>
        <v>7.7020000000000008</v>
      </c>
    </row>
    <row r="128" spans="1:5" ht="42.75" hidden="1" x14ac:dyDescent="0.25">
      <c r="A128" s="22" t="s">
        <v>499</v>
      </c>
      <c r="B128" s="1" t="s">
        <v>6</v>
      </c>
      <c r="C128" s="9" t="s">
        <v>124</v>
      </c>
      <c r="D128" s="3" t="s">
        <v>473</v>
      </c>
      <c r="E128" s="26">
        <f>0.364-0.016-0.06</f>
        <v>0.28799999999999998</v>
      </c>
    </row>
    <row r="129" spans="1:5" ht="28.5" hidden="1" x14ac:dyDescent="0.25">
      <c r="A129" s="22" t="s">
        <v>499</v>
      </c>
      <c r="B129" s="1" t="s">
        <v>6</v>
      </c>
      <c r="C129" s="3" t="s">
        <v>196</v>
      </c>
      <c r="D129" s="3" t="s">
        <v>78</v>
      </c>
      <c r="E129" s="26">
        <f>3.38-0.676-0.336-0.332-0.34-0.34-0.684</f>
        <v>0.67199999999999982</v>
      </c>
    </row>
    <row r="130" spans="1:5" ht="28.5" hidden="1" x14ac:dyDescent="0.25">
      <c r="A130" s="22" t="s">
        <v>499</v>
      </c>
      <c r="B130" s="1" t="s">
        <v>6</v>
      </c>
      <c r="C130" s="3" t="s">
        <v>196</v>
      </c>
      <c r="D130" s="3" t="s">
        <v>378</v>
      </c>
      <c r="E130" s="26">
        <f>0.345-0.095-0.114</f>
        <v>0.13599999999999995</v>
      </c>
    </row>
    <row r="131" spans="1:5" ht="57" hidden="1" x14ac:dyDescent="0.25">
      <c r="A131" s="22" t="s">
        <v>499</v>
      </c>
      <c r="B131" s="2" t="s">
        <v>6</v>
      </c>
      <c r="C131" s="9" t="s">
        <v>104</v>
      </c>
      <c r="D131" s="3" t="s">
        <v>311</v>
      </c>
      <c r="E131" s="26">
        <f>0.43-0.036-0.214-0.002</f>
        <v>0.17800000000000002</v>
      </c>
    </row>
    <row r="132" spans="1:5" ht="57" hidden="1" x14ac:dyDescent="0.25">
      <c r="A132" s="22" t="s">
        <v>499</v>
      </c>
      <c r="B132" s="2" t="s">
        <v>6</v>
      </c>
      <c r="C132" s="9" t="s">
        <v>104</v>
      </c>
      <c r="D132" s="3" t="s">
        <v>404</v>
      </c>
      <c r="E132" s="26">
        <f>0.43</f>
        <v>0.43</v>
      </c>
    </row>
    <row r="133" spans="1:5" ht="57" hidden="1" x14ac:dyDescent="0.25">
      <c r="A133" s="22" t="s">
        <v>499</v>
      </c>
      <c r="B133" s="2" t="s">
        <v>6</v>
      </c>
      <c r="C133" s="9" t="s">
        <v>104</v>
      </c>
      <c r="D133" s="3" t="s">
        <v>405</v>
      </c>
      <c r="E133" s="26">
        <f>0.42</f>
        <v>0.42</v>
      </c>
    </row>
    <row r="134" spans="1:5" ht="57" hidden="1" x14ac:dyDescent="0.25">
      <c r="A134" s="22" t="s">
        <v>499</v>
      </c>
      <c r="B134" s="2" t="s">
        <v>6</v>
      </c>
      <c r="C134" s="9" t="s">
        <v>104</v>
      </c>
      <c r="D134" s="3" t="s">
        <v>64</v>
      </c>
      <c r="E134" s="26">
        <f>1.29+4.94+0.86-0.424-1.254</f>
        <v>5.4120000000000008</v>
      </c>
    </row>
    <row r="135" spans="1:5" ht="57" hidden="1" x14ac:dyDescent="0.25">
      <c r="A135" s="22" t="s">
        <v>499</v>
      </c>
      <c r="B135" s="2" t="s">
        <v>6</v>
      </c>
      <c r="C135" s="9" t="s">
        <v>104</v>
      </c>
      <c r="D135" s="3" t="s">
        <v>67</v>
      </c>
      <c r="E135" s="26">
        <f>2.9-0.99</f>
        <v>1.91</v>
      </c>
    </row>
    <row r="136" spans="1:5" ht="57" hidden="1" x14ac:dyDescent="0.25">
      <c r="A136" s="22" t="s">
        <v>499</v>
      </c>
      <c r="B136" s="2" t="s">
        <v>6</v>
      </c>
      <c r="C136" s="9" t="s">
        <v>104</v>
      </c>
      <c r="D136" s="3" t="s">
        <v>123</v>
      </c>
      <c r="E136" s="26">
        <f>0.5</f>
        <v>0.5</v>
      </c>
    </row>
    <row r="137" spans="1:5" ht="57" hidden="1" x14ac:dyDescent="0.25">
      <c r="A137" s="22" t="s">
        <v>499</v>
      </c>
      <c r="B137" s="2" t="s">
        <v>6</v>
      </c>
      <c r="C137" s="9" t="s">
        <v>104</v>
      </c>
      <c r="D137" s="3" t="s">
        <v>427</v>
      </c>
      <c r="E137" s="26">
        <f>3.43-0.565-1.71-0.574-0.238-0.011</f>
        <v>0.33200000000000029</v>
      </c>
    </row>
    <row r="138" spans="1:5" ht="57" hidden="1" x14ac:dyDescent="0.25">
      <c r="A138" s="22" t="s">
        <v>499</v>
      </c>
      <c r="B138" s="2" t="s">
        <v>6</v>
      </c>
      <c r="C138" s="9" t="s">
        <v>104</v>
      </c>
      <c r="D138" s="3" t="s">
        <v>379</v>
      </c>
      <c r="E138" s="26">
        <f>0.574-0.024-0.048+0.002-0.034-0.03-0.028-0.002-0.308</f>
        <v>0.10199999999999981</v>
      </c>
    </row>
    <row r="139" spans="1:5" ht="42.75" hidden="1" x14ac:dyDescent="0.25">
      <c r="A139" s="22" t="s">
        <v>499</v>
      </c>
      <c r="B139" s="2" t="s">
        <v>6</v>
      </c>
      <c r="C139" s="9" t="s">
        <v>142</v>
      </c>
      <c r="D139" s="3" t="s">
        <v>156</v>
      </c>
      <c r="E139" s="26">
        <f>0.55</f>
        <v>0.55000000000000004</v>
      </c>
    </row>
    <row r="140" spans="1:5" ht="57" hidden="1" x14ac:dyDescent="0.25">
      <c r="A140" s="22" t="s">
        <v>499</v>
      </c>
      <c r="B140" s="2" t="s">
        <v>6</v>
      </c>
      <c r="C140" s="9" t="s">
        <v>104</v>
      </c>
      <c r="D140" s="3" t="s">
        <v>28</v>
      </c>
      <c r="E140" s="26">
        <v>3.93</v>
      </c>
    </row>
    <row r="141" spans="1:5" ht="42.75" hidden="1" x14ac:dyDescent="0.25">
      <c r="A141" s="22" t="s">
        <v>499</v>
      </c>
      <c r="B141" s="2" t="s">
        <v>6</v>
      </c>
      <c r="C141" s="9" t="s">
        <v>142</v>
      </c>
      <c r="D141" s="3" t="s">
        <v>28</v>
      </c>
      <c r="E141" s="26">
        <f>10.2-1.126</f>
        <v>9.0739999999999998</v>
      </c>
    </row>
    <row r="142" spans="1:5" ht="57" hidden="1" x14ac:dyDescent="0.25">
      <c r="A142" s="22" t="s">
        <v>499</v>
      </c>
      <c r="B142" s="2" t="s">
        <v>6</v>
      </c>
      <c r="C142" s="9" t="s">
        <v>104</v>
      </c>
      <c r="D142" s="7" t="s">
        <v>463</v>
      </c>
      <c r="E142" s="25">
        <f>0.722-0.032</f>
        <v>0.69</v>
      </c>
    </row>
    <row r="143" spans="1:5" ht="28.5" hidden="1" x14ac:dyDescent="0.25">
      <c r="A143" s="22" t="s">
        <v>499</v>
      </c>
      <c r="B143" s="2" t="s">
        <v>6</v>
      </c>
      <c r="C143" s="3" t="s">
        <v>196</v>
      </c>
      <c r="D143" s="7" t="s">
        <v>212</v>
      </c>
      <c r="E143" s="25">
        <f>0.03</f>
        <v>0.03</v>
      </c>
    </row>
    <row r="144" spans="1:5" ht="57" hidden="1" x14ac:dyDescent="0.25">
      <c r="A144" s="22" t="s">
        <v>499</v>
      </c>
      <c r="B144" s="2" t="s">
        <v>6</v>
      </c>
      <c r="C144" s="9" t="s">
        <v>104</v>
      </c>
      <c r="D144" s="7" t="s">
        <v>406</v>
      </c>
      <c r="E144" s="27">
        <f>0.64</f>
        <v>0.64</v>
      </c>
    </row>
    <row r="145" spans="1:5" ht="57" hidden="1" x14ac:dyDescent="0.25">
      <c r="A145" s="22" t="s">
        <v>499</v>
      </c>
      <c r="B145" s="2" t="s">
        <v>6</v>
      </c>
      <c r="C145" s="9" t="s">
        <v>104</v>
      </c>
      <c r="D145" s="7" t="s">
        <v>12</v>
      </c>
      <c r="E145" s="27">
        <f>5.59+4.88</f>
        <v>10.469999999999999</v>
      </c>
    </row>
    <row r="146" spans="1:5" ht="28.5" hidden="1" x14ac:dyDescent="0.25">
      <c r="A146" s="22" t="s">
        <v>499</v>
      </c>
      <c r="B146" s="2" t="s">
        <v>6</v>
      </c>
      <c r="C146" s="9" t="s">
        <v>69</v>
      </c>
      <c r="D146" s="3" t="s">
        <v>401</v>
      </c>
      <c r="E146" s="28">
        <f>2.556-1.67-0.14-0.04-0.424</f>
        <v>0.28200000000000008</v>
      </c>
    </row>
    <row r="147" spans="1:5" ht="28.5" hidden="1" x14ac:dyDescent="0.25">
      <c r="A147" s="22" t="s">
        <v>499</v>
      </c>
      <c r="B147" s="2" t="s">
        <v>6</v>
      </c>
      <c r="C147" s="9" t="s">
        <v>69</v>
      </c>
      <c r="D147" s="3" t="s">
        <v>221</v>
      </c>
      <c r="E147" s="26">
        <f>0.91-0.082-0.026</f>
        <v>0.80200000000000005</v>
      </c>
    </row>
    <row r="148" spans="1:5" ht="28.5" hidden="1" x14ac:dyDescent="0.25">
      <c r="A148" s="22" t="s">
        <v>499</v>
      </c>
      <c r="B148" s="2" t="s">
        <v>6</v>
      </c>
      <c r="C148" s="9" t="s">
        <v>69</v>
      </c>
      <c r="D148" s="3" t="s">
        <v>210</v>
      </c>
      <c r="E148" s="26">
        <f>1.028</f>
        <v>1.028</v>
      </c>
    </row>
    <row r="149" spans="1:5" ht="28.5" hidden="1" x14ac:dyDescent="0.25">
      <c r="A149" s="22" t="s">
        <v>499</v>
      </c>
      <c r="B149" s="2" t="s">
        <v>6</v>
      </c>
      <c r="C149" s="9" t="s">
        <v>69</v>
      </c>
      <c r="D149" s="3" t="s">
        <v>150</v>
      </c>
      <c r="E149" s="26">
        <f>3.195-2.145-0.046-0.162+0.018-0.11-0.002-0.38+0.004-0.091</f>
        <v>0.28099999999999981</v>
      </c>
    </row>
    <row r="150" spans="1:5" ht="28.5" hidden="1" x14ac:dyDescent="0.25">
      <c r="A150" s="22" t="s">
        <v>499</v>
      </c>
      <c r="B150" s="2" t="s">
        <v>6</v>
      </c>
      <c r="C150" s="9" t="s">
        <v>69</v>
      </c>
      <c r="D150" s="3" t="s">
        <v>272</v>
      </c>
      <c r="E150" s="26">
        <f>0.99</f>
        <v>0.99</v>
      </c>
    </row>
    <row r="151" spans="1:5" ht="28.5" hidden="1" x14ac:dyDescent="0.25">
      <c r="A151" s="22" t="s">
        <v>499</v>
      </c>
      <c r="B151" s="2" t="s">
        <v>6</v>
      </c>
      <c r="C151" s="9" t="s">
        <v>69</v>
      </c>
      <c r="D151" s="3" t="s">
        <v>62</v>
      </c>
      <c r="E151" s="26">
        <f>3.195</f>
        <v>3.1949999999999998</v>
      </c>
    </row>
    <row r="152" spans="1:5" ht="28.5" hidden="1" x14ac:dyDescent="0.25">
      <c r="A152" s="22" t="s">
        <v>499</v>
      </c>
      <c r="B152" s="2" t="s">
        <v>6</v>
      </c>
      <c r="C152" s="9" t="s">
        <v>69</v>
      </c>
      <c r="D152" s="3" t="s">
        <v>36</v>
      </c>
      <c r="E152" s="26">
        <f>3.411-1.12</f>
        <v>2.2909999999999999</v>
      </c>
    </row>
    <row r="153" spans="1:5" ht="28.5" hidden="1" x14ac:dyDescent="0.25">
      <c r="A153" s="22" t="s">
        <v>499</v>
      </c>
      <c r="B153" s="2" t="s">
        <v>6</v>
      </c>
      <c r="C153" s="9" t="s">
        <v>69</v>
      </c>
      <c r="D153" s="3" t="s">
        <v>279</v>
      </c>
      <c r="E153" s="26">
        <f>1.137-0.748-0.017</f>
        <v>0.372</v>
      </c>
    </row>
    <row r="154" spans="1:5" ht="28.5" hidden="1" x14ac:dyDescent="0.25">
      <c r="A154" s="22" t="s">
        <v>499</v>
      </c>
      <c r="B154" s="2" t="s">
        <v>6</v>
      </c>
      <c r="C154" s="9" t="s">
        <v>69</v>
      </c>
      <c r="D154" s="3" t="s">
        <v>36</v>
      </c>
      <c r="E154" s="26">
        <f>3.411</f>
        <v>3.411</v>
      </c>
    </row>
    <row r="155" spans="1:5" ht="28.5" hidden="1" x14ac:dyDescent="0.25">
      <c r="A155" s="22" t="s">
        <v>499</v>
      </c>
      <c r="B155" s="2" t="s">
        <v>6</v>
      </c>
      <c r="C155" s="9" t="s">
        <v>69</v>
      </c>
      <c r="D155" s="3" t="s">
        <v>315</v>
      </c>
      <c r="E155" s="26">
        <f>2.57</f>
        <v>2.57</v>
      </c>
    </row>
    <row r="156" spans="1:5" ht="28.5" hidden="1" x14ac:dyDescent="0.25">
      <c r="A156" s="22" t="s">
        <v>499</v>
      </c>
      <c r="B156" s="2" t="s">
        <v>6</v>
      </c>
      <c r="C156" s="9" t="s">
        <v>58</v>
      </c>
      <c r="D156" s="3" t="s">
        <v>259</v>
      </c>
      <c r="E156" s="26">
        <f>1.428-0.228-0.068-0.458-0.118+0.002-0.23-0.002</f>
        <v>0.32599999999999996</v>
      </c>
    </row>
    <row r="157" spans="1:5" ht="28.5" hidden="1" x14ac:dyDescent="0.25">
      <c r="A157" s="22" t="s">
        <v>499</v>
      </c>
      <c r="B157" s="2" t="s">
        <v>6</v>
      </c>
      <c r="C157" s="9" t="s">
        <v>58</v>
      </c>
      <c r="D157" s="3" t="s">
        <v>46</v>
      </c>
      <c r="E157" s="26">
        <f>2.856-1.428</f>
        <v>1.4279999999999999</v>
      </c>
    </row>
    <row r="158" spans="1:5" ht="28.5" hidden="1" x14ac:dyDescent="0.25">
      <c r="A158" s="22" t="s">
        <v>499</v>
      </c>
      <c r="B158" s="2" t="s">
        <v>6</v>
      </c>
      <c r="C158" s="9" t="s">
        <v>69</v>
      </c>
      <c r="D158" s="3" t="s">
        <v>338</v>
      </c>
      <c r="E158" s="26">
        <f>1.394-0.978-0.072-0.236</f>
        <v>0.10799999999999993</v>
      </c>
    </row>
    <row r="159" spans="1:5" ht="28.5" hidden="1" x14ac:dyDescent="0.25">
      <c r="A159" s="22" t="s">
        <v>499</v>
      </c>
      <c r="B159" s="2" t="s">
        <v>6</v>
      </c>
      <c r="C159" s="9" t="s">
        <v>69</v>
      </c>
      <c r="D159" s="3" t="s">
        <v>402</v>
      </c>
      <c r="E159" s="26">
        <f>1.428-0.466-0.018</f>
        <v>0.94399999999999995</v>
      </c>
    </row>
    <row r="160" spans="1:5" ht="28.5" hidden="1" x14ac:dyDescent="0.25">
      <c r="A160" s="22" t="s">
        <v>499</v>
      </c>
      <c r="B160" s="2" t="s">
        <v>6</v>
      </c>
      <c r="C160" s="9" t="s">
        <v>391</v>
      </c>
      <c r="D160" s="3" t="s">
        <v>46</v>
      </c>
      <c r="E160" s="26">
        <f>2.856</f>
        <v>2.8559999999999999</v>
      </c>
    </row>
    <row r="161" spans="1:5" ht="28.5" hidden="1" x14ac:dyDescent="0.25">
      <c r="A161" s="22" t="s">
        <v>499</v>
      </c>
      <c r="B161" s="2" t="s">
        <v>6</v>
      </c>
      <c r="C161" s="9" t="s">
        <v>69</v>
      </c>
      <c r="D161" s="3" t="s">
        <v>68</v>
      </c>
      <c r="E161" s="26">
        <f>3.142</f>
        <v>3.1419999999999999</v>
      </c>
    </row>
    <row r="162" spans="1:5" ht="28.5" hidden="1" x14ac:dyDescent="0.25">
      <c r="A162" s="22" t="s">
        <v>499</v>
      </c>
      <c r="B162" s="2" t="s">
        <v>6</v>
      </c>
      <c r="C162" s="9" t="s">
        <v>69</v>
      </c>
      <c r="D162" s="3" t="s">
        <v>261</v>
      </c>
      <c r="E162" s="26">
        <f>1.571-1.022-0.035</f>
        <v>0.5139999999999999</v>
      </c>
    </row>
    <row r="163" spans="1:5" ht="28.5" hidden="1" x14ac:dyDescent="0.25">
      <c r="A163" s="22" t="s">
        <v>499</v>
      </c>
      <c r="B163" s="2" t="s">
        <v>6</v>
      </c>
      <c r="C163" s="9" t="s">
        <v>69</v>
      </c>
      <c r="D163" s="3" t="s">
        <v>223</v>
      </c>
      <c r="E163" s="26">
        <f>3.57-1.77-0.496-0.062-0.5-0.004-0.164-0.178-0.134-0.002</f>
        <v>0.25999999999999973</v>
      </c>
    </row>
    <row r="164" spans="1:5" ht="28.5" hidden="1" x14ac:dyDescent="0.25">
      <c r="A164" s="22" t="s">
        <v>499</v>
      </c>
      <c r="B164" s="2" t="s">
        <v>6</v>
      </c>
      <c r="C164" s="9" t="s">
        <v>392</v>
      </c>
      <c r="D164" s="3" t="s">
        <v>152</v>
      </c>
      <c r="E164" s="28">
        <f>7.14</f>
        <v>7.14</v>
      </c>
    </row>
    <row r="165" spans="1:5" ht="28.5" hidden="1" x14ac:dyDescent="0.25">
      <c r="A165" s="22" t="s">
        <v>499</v>
      </c>
      <c r="B165" s="2" t="s">
        <v>6</v>
      </c>
      <c r="C165" s="9" t="s">
        <v>58</v>
      </c>
      <c r="D165" s="3" t="s">
        <v>273</v>
      </c>
      <c r="E165" s="26">
        <f>2.07</f>
        <v>2.0699999999999998</v>
      </c>
    </row>
    <row r="166" spans="1:5" ht="28.5" hidden="1" x14ac:dyDescent="0.25">
      <c r="A166" s="22" t="s">
        <v>499</v>
      </c>
      <c r="B166" s="2" t="s">
        <v>6</v>
      </c>
      <c r="C166" s="9" t="s">
        <v>58</v>
      </c>
      <c r="D166" s="3" t="s">
        <v>77</v>
      </c>
      <c r="E166" s="26">
        <v>2.1419999999999999</v>
      </c>
    </row>
    <row r="167" spans="1:5" ht="28.5" hidden="1" x14ac:dyDescent="0.25">
      <c r="A167" s="22" t="s">
        <v>499</v>
      </c>
      <c r="B167" s="2" t="s">
        <v>6</v>
      </c>
      <c r="C167" s="9" t="s">
        <v>69</v>
      </c>
      <c r="D167" s="3" t="s">
        <v>403</v>
      </c>
      <c r="E167" s="26">
        <f>2.142-0.364-0.016-0.182-1.072-0.358-0.002</f>
        <v>0.14800000000000002</v>
      </c>
    </row>
    <row r="168" spans="1:5" ht="28.5" hidden="1" x14ac:dyDescent="0.25">
      <c r="A168" s="22" t="s">
        <v>499</v>
      </c>
      <c r="B168" s="2" t="s">
        <v>6</v>
      </c>
      <c r="C168" s="9" t="s">
        <v>69</v>
      </c>
      <c r="D168" s="3" t="s">
        <v>337</v>
      </c>
      <c r="E168" s="26">
        <f>0.182</f>
        <v>0.182</v>
      </c>
    </row>
    <row r="169" spans="1:5" ht="28.5" hidden="1" x14ac:dyDescent="0.25">
      <c r="A169" s="22" t="s">
        <v>499</v>
      </c>
      <c r="B169" s="2" t="s">
        <v>6</v>
      </c>
      <c r="C169" s="9" t="s">
        <v>69</v>
      </c>
      <c r="D169" s="3" t="s">
        <v>77</v>
      </c>
      <c r="E169" s="26">
        <f>4.284-2.142</f>
        <v>2.1419999999999999</v>
      </c>
    </row>
    <row r="170" spans="1:5" ht="28.5" hidden="1" x14ac:dyDescent="0.25">
      <c r="A170" s="22" t="s">
        <v>499</v>
      </c>
      <c r="B170" s="2" t="s">
        <v>6</v>
      </c>
      <c r="C170" s="9" t="s">
        <v>69</v>
      </c>
      <c r="D170" s="3" t="s">
        <v>286</v>
      </c>
      <c r="E170" s="26">
        <f>2.57-0.428-0.022-0.43+0.002</f>
        <v>1.6920000000000002</v>
      </c>
    </row>
    <row r="171" spans="1:5" ht="28.5" hidden="1" x14ac:dyDescent="0.25">
      <c r="A171" s="22" t="s">
        <v>499</v>
      </c>
      <c r="B171" s="2" t="s">
        <v>6</v>
      </c>
      <c r="C171" s="9" t="s">
        <v>391</v>
      </c>
      <c r="D171" s="3" t="s">
        <v>151</v>
      </c>
      <c r="E171" s="28">
        <f>2.57</f>
        <v>2.57</v>
      </c>
    </row>
    <row r="172" spans="1:5" ht="28.5" hidden="1" x14ac:dyDescent="0.25">
      <c r="A172" s="22" t="s">
        <v>499</v>
      </c>
      <c r="B172" s="2" t="s">
        <v>6</v>
      </c>
      <c r="C172" s="9" t="s">
        <v>69</v>
      </c>
      <c r="D172" s="3" t="s">
        <v>317</v>
      </c>
      <c r="E172" s="26">
        <f>2.855-0.492+0.007-0.396-0.004</f>
        <v>1.9700000000000002</v>
      </c>
    </row>
    <row r="173" spans="1:5" ht="28.5" hidden="1" x14ac:dyDescent="0.25">
      <c r="A173" s="22" t="s">
        <v>499</v>
      </c>
      <c r="B173" s="2" t="s">
        <v>6</v>
      </c>
      <c r="C173" s="9" t="s">
        <v>58</v>
      </c>
      <c r="D173" s="3" t="s">
        <v>145</v>
      </c>
      <c r="E173" s="26">
        <f>2.855</f>
        <v>2.855</v>
      </c>
    </row>
    <row r="174" spans="1:5" ht="28.5" hidden="1" x14ac:dyDescent="0.25">
      <c r="A174" s="22" t="s">
        <v>499</v>
      </c>
      <c r="B174" s="2" t="s">
        <v>6</v>
      </c>
      <c r="C174" s="9" t="s">
        <v>69</v>
      </c>
      <c r="D174" s="3" t="s">
        <v>245</v>
      </c>
      <c r="E174" s="26">
        <f>7.16-3.708-2.112+0.006</f>
        <v>1.3459999999999999</v>
      </c>
    </row>
    <row r="175" spans="1:5" ht="28.5" hidden="1" x14ac:dyDescent="0.25">
      <c r="A175" s="22" t="s">
        <v>499</v>
      </c>
      <c r="B175" s="2" t="s">
        <v>6</v>
      </c>
      <c r="C175" s="9" t="s">
        <v>69</v>
      </c>
      <c r="D175" s="3" t="s">
        <v>335</v>
      </c>
      <c r="E175" s="26">
        <f>3.708-0.33-0.648-1.734-0.012-0.476</f>
        <v>0.50800000000000001</v>
      </c>
    </row>
    <row r="176" spans="1:5" ht="28.5" hidden="1" x14ac:dyDescent="0.25">
      <c r="A176" s="22" t="s">
        <v>499</v>
      </c>
      <c r="B176" s="2" t="s">
        <v>6</v>
      </c>
      <c r="C176" s="9" t="s">
        <v>58</v>
      </c>
      <c r="D176" s="3" t="s">
        <v>359</v>
      </c>
      <c r="E176" s="26">
        <f>3.51</f>
        <v>3.51</v>
      </c>
    </row>
    <row r="177" spans="1:5" ht="28.5" hidden="1" x14ac:dyDescent="0.25">
      <c r="A177" s="22" t="s">
        <v>499</v>
      </c>
      <c r="B177" s="2" t="s">
        <v>6</v>
      </c>
      <c r="C177" s="9" t="s">
        <v>58</v>
      </c>
      <c r="D177" s="3" t="s">
        <v>474</v>
      </c>
      <c r="E177" s="26">
        <f>4.41-2.12-0.154</f>
        <v>2.1360000000000001</v>
      </c>
    </row>
    <row r="178" spans="1:5" ht="28.5" hidden="1" x14ac:dyDescent="0.25">
      <c r="A178" s="22" t="s">
        <v>499</v>
      </c>
      <c r="B178" s="2" t="s">
        <v>6</v>
      </c>
      <c r="C178" s="3" t="s">
        <v>91</v>
      </c>
      <c r="D178" s="3" t="s">
        <v>475</v>
      </c>
      <c r="E178" s="26">
        <f>13.96-9.28-2.443-0.022</f>
        <v>2.2150000000000016</v>
      </c>
    </row>
    <row r="179" spans="1:5" ht="28.5" hidden="1" x14ac:dyDescent="0.25">
      <c r="A179" s="22" t="s">
        <v>499</v>
      </c>
      <c r="B179" s="2" t="s">
        <v>6</v>
      </c>
      <c r="C179" s="3" t="s">
        <v>433</v>
      </c>
      <c r="D179" s="3" t="s">
        <v>432</v>
      </c>
      <c r="E179" s="26">
        <f>4.24</f>
        <v>4.24</v>
      </c>
    </row>
    <row r="180" spans="1:5" ht="28.5" hidden="1" x14ac:dyDescent="0.25">
      <c r="A180" s="22" t="s">
        <v>499</v>
      </c>
      <c r="B180" s="2" t="s">
        <v>6</v>
      </c>
      <c r="C180" s="3" t="s">
        <v>91</v>
      </c>
      <c r="D180" s="3" t="s">
        <v>271</v>
      </c>
      <c r="E180" s="26">
        <f>3.07-0.246+0.04</f>
        <v>2.8639999999999999</v>
      </c>
    </row>
    <row r="181" spans="1:5" ht="28.5" hidden="1" x14ac:dyDescent="0.25">
      <c r="A181" s="22" t="s">
        <v>499</v>
      </c>
      <c r="B181" s="2" t="s">
        <v>6</v>
      </c>
      <c r="C181" s="3" t="s">
        <v>314</v>
      </c>
      <c r="D181" s="3" t="s">
        <v>360</v>
      </c>
      <c r="E181" s="26">
        <f>4.71</f>
        <v>4.71</v>
      </c>
    </row>
    <row r="182" spans="1:5" ht="28.5" hidden="1" x14ac:dyDescent="0.25">
      <c r="A182" s="22" t="s">
        <v>499</v>
      </c>
      <c r="B182" s="2" t="s">
        <v>6</v>
      </c>
      <c r="C182" s="3" t="s">
        <v>314</v>
      </c>
      <c r="D182" s="3" t="s">
        <v>396</v>
      </c>
      <c r="E182" s="26">
        <f>4.555+0.155-0.68</f>
        <v>4.03</v>
      </c>
    </row>
    <row r="183" spans="1:5" ht="28.5" hidden="1" x14ac:dyDescent="0.25">
      <c r="A183" s="22" t="s">
        <v>499</v>
      </c>
      <c r="B183" s="2" t="s">
        <v>6</v>
      </c>
      <c r="C183" s="3" t="s">
        <v>91</v>
      </c>
      <c r="D183" s="3" t="s">
        <v>287</v>
      </c>
      <c r="E183" s="26">
        <f>2.67-0.216-1.922+0.196</f>
        <v>0.72799999999999976</v>
      </c>
    </row>
    <row r="184" spans="1:5" ht="28.5" hidden="1" x14ac:dyDescent="0.25">
      <c r="A184" s="22" t="s">
        <v>499</v>
      </c>
      <c r="B184" s="2" t="s">
        <v>6</v>
      </c>
      <c r="C184" s="3" t="s">
        <v>91</v>
      </c>
      <c r="D184" s="3" t="s">
        <v>342</v>
      </c>
      <c r="E184" s="26">
        <f>4.63-3.148-0.402-0.006</f>
        <v>1.0739999999999996</v>
      </c>
    </row>
    <row r="185" spans="1:5" ht="28.5" hidden="1" x14ac:dyDescent="0.25">
      <c r="A185" s="22" t="s">
        <v>499</v>
      </c>
      <c r="B185" s="2" t="s">
        <v>6</v>
      </c>
      <c r="C185" s="3" t="s">
        <v>314</v>
      </c>
      <c r="D185" s="3" t="s">
        <v>318</v>
      </c>
      <c r="E185" s="26">
        <f>2.84-0.886</f>
        <v>1.9539999999999997</v>
      </c>
    </row>
    <row r="186" spans="1:5" ht="28.5" hidden="1" x14ac:dyDescent="0.25">
      <c r="A186" s="22" t="s">
        <v>499</v>
      </c>
      <c r="B186" s="2" t="s">
        <v>6</v>
      </c>
      <c r="C186" s="3" t="s">
        <v>91</v>
      </c>
      <c r="D186" s="3" t="s">
        <v>468</v>
      </c>
      <c r="E186" s="26">
        <f>1.731-0.85-0.007</f>
        <v>0.87400000000000011</v>
      </c>
    </row>
    <row r="187" spans="1:5" ht="28.5" hidden="1" x14ac:dyDescent="0.25">
      <c r="A187" s="22" t="s">
        <v>499</v>
      </c>
      <c r="B187" s="2" t="s">
        <v>6</v>
      </c>
      <c r="C187" s="3" t="s">
        <v>91</v>
      </c>
      <c r="D187" s="3" t="s">
        <v>384</v>
      </c>
      <c r="E187" s="26">
        <f>4.63</f>
        <v>4.63</v>
      </c>
    </row>
    <row r="188" spans="1:5" ht="28.5" hidden="1" x14ac:dyDescent="0.25">
      <c r="A188" s="22" t="s">
        <v>499</v>
      </c>
      <c r="B188" s="1" t="s">
        <v>79</v>
      </c>
      <c r="C188" s="9" t="s">
        <v>206</v>
      </c>
      <c r="D188" s="3" t="s">
        <v>81</v>
      </c>
      <c r="E188" s="27">
        <f>0.776-0.516</f>
        <v>0.26</v>
      </c>
    </row>
    <row r="189" spans="1:5" ht="28.5" hidden="1" x14ac:dyDescent="0.25">
      <c r="A189" s="22" t="s">
        <v>499</v>
      </c>
      <c r="B189" s="1" t="s">
        <v>79</v>
      </c>
      <c r="C189" s="9" t="s">
        <v>204</v>
      </c>
      <c r="D189" s="3" t="s">
        <v>202</v>
      </c>
      <c r="E189" s="27">
        <f>5.1-2.76</f>
        <v>2.34</v>
      </c>
    </row>
    <row r="190" spans="1:5" ht="28.5" hidden="1" x14ac:dyDescent="0.25">
      <c r="A190" s="22" t="s">
        <v>499</v>
      </c>
      <c r="B190" s="1" t="s">
        <v>79</v>
      </c>
      <c r="C190" s="9" t="s">
        <v>204</v>
      </c>
      <c r="D190" s="3" t="s">
        <v>203</v>
      </c>
      <c r="E190" s="27">
        <f>2.76-0.76-0.004</f>
        <v>1.9959999999999998</v>
      </c>
    </row>
    <row r="191" spans="1:5" ht="28.5" hidden="1" x14ac:dyDescent="0.25">
      <c r="A191" s="22" t="s">
        <v>499</v>
      </c>
      <c r="B191" s="15" t="s">
        <v>367</v>
      </c>
      <c r="C191" s="15"/>
      <c r="D191" s="15" t="s">
        <v>368</v>
      </c>
      <c r="E191" s="23">
        <f>0.592-0.246-0.144</f>
        <v>0.20199999999999999</v>
      </c>
    </row>
    <row r="192" spans="1:5" ht="28.5" hidden="1" x14ac:dyDescent="0.25">
      <c r="A192" s="22" t="s">
        <v>499</v>
      </c>
      <c r="B192" s="15" t="s">
        <v>367</v>
      </c>
      <c r="C192" s="9" t="s">
        <v>394</v>
      </c>
      <c r="D192" s="15" t="s">
        <v>380</v>
      </c>
      <c r="E192" s="23">
        <f>24.13-12.085</f>
        <v>12.044999999999998</v>
      </c>
    </row>
    <row r="193" spans="1:5" ht="28.5" hidden="1" x14ac:dyDescent="0.25">
      <c r="A193" s="22" t="s">
        <v>499</v>
      </c>
      <c r="B193" s="9" t="s">
        <v>29</v>
      </c>
      <c r="C193" s="9" t="s">
        <v>133</v>
      </c>
      <c r="D193" s="3" t="s">
        <v>7</v>
      </c>
      <c r="E193" s="26">
        <f>0.036</f>
        <v>3.5999999999999997E-2</v>
      </c>
    </row>
    <row r="194" spans="1:5" ht="28.5" hidden="1" x14ac:dyDescent="0.25">
      <c r="A194" s="22" t="s">
        <v>499</v>
      </c>
      <c r="B194" s="9" t="s">
        <v>29</v>
      </c>
      <c r="C194" s="9" t="s">
        <v>133</v>
      </c>
      <c r="D194" s="3" t="s">
        <v>356</v>
      </c>
      <c r="E194" s="26">
        <f>0.36-0.048</f>
        <v>0.312</v>
      </c>
    </row>
    <row r="195" spans="1:5" ht="28.5" hidden="1" x14ac:dyDescent="0.25">
      <c r="A195" s="22" t="s">
        <v>499</v>
      </c>
      <c r="B195" s="9" t="s">
        <v>29</v>
      </c>
      <c r="C195" s="9" t="s">
        <v>133</v>
      </c>
      <c r="D195" s="3" t="s">
        <v>357</v>
      </c>
      <c r="E195" s="26">
        <f>0.56-0.064</f>
        <v>0.49600000000000005</v>
      </c>
    </row>
    <row r="196" spans="1:5" ht="28.5" hidden="1" x14ac:dyDescent="0.25">
      <c r="A196" s="22" t="s">
        <v>499</v>
      </c>
      <c r="B196" s="9" t="s">
        <v>29</v>
      </c>
      <c r="C196" s="9" t="s">
        <v>133</v>
      </c>
      <c r="D196" s="3" t="s">
        <v>355</v>
      </c>
      <c r="E196" s="28">
        <f>2.556-1.664-0.096-0.064</f>
        <v>0.73200000000000021</v>
      </c>
    </row>
    <row r="197" spans="1:5" ht="28.5" hidden="1" x14ac:dyDescent="0.25">
      <c r="A197" s="22" t="s">
        <v>499</v>
      </c>
      <c r="B197" s="9" t="s">
        <v>29</v>
      </c>
      <c r="C197" s="9" t="s">
        <v>133</v>
      </c>
      <c r="D197" s="3" t="s">
        <v>46</v>
      </c>
      <c r="E197" s="28">
        <f>2.856-1.428</f>
        <v>1.4279999999999999</v>
      </c>
    </row>
    <row r="198" spans="1:5" ht="28.5" hidden="1" x14ac:dyDescent="0.25">
      <c r="A198" s="22" t="s">
        <v>499</v>
      </c>
      <c r="B198" s="9" t="s">
        <v>29</v>
      </c>
      <c r="C198" s="9" t="s">
        <v>133</v>
      </c>
      <c r="D198" s="3" t="s">
        <v>354</v>
      </c>
      <c r="E198" s="28">
        <f>1.428-0.328-0.07-0.024</f>
        <v>1.0059999999999998</v>
      </c>
    </row>
    <row r="199" spans="1:5" ht="28.5" hidden="1" x14ac:dyDescent="0.25">
      <c r="A199" s="22" t="s">
        <v>499</v>
      </c>
      <c r="B199" s="8" t="s">
        <v>30</v>
      </c>
      <c r="C199" s="8" t="s">
        <v>225</v>
      </c>
      <c r="D199" s="15" t="s">
        <v>46</v>
      </c>
      <c r="E199" s="23">
        <f>2.856-1.39</f>
        <v>1.466</v>
      </c>
    </row>
    <row r="200" spans="1:5" ht="28.5" hidden="1" x14ac:dyDescent="0.25">
      <c r="A200" s="22" t="s">
        <v>499</v>
      </c>
      <c r="B200" s="8" t="s">
        <v>30</v>
      </c>
      <c r="C200" s="8" t="s">
        <v>225</v>
      </c>
      <c r="D200" s="15" t="s">
        <v>152</v>
      </c>
      <c r="E200" s="23">
        <f>3.57-1.78</f>
        <v>1.7899999999999998</v>
      </c>
    </row>
    <row r="201" spans="1:5" ht="28.5" hidden="1" x14ac:dyDescent="0.25">
      <c r="A201" s="22" t="s">
        <v>499</v>
      </c>
      <c r="B201" s="8" t="s">
        <v>30</v>
      </c>
      <c r="C201" s="8" t="s">
        <v>225</v>
      </c>
      <c r="D201" s="15" t="s">
        <v>484</v>
      </c>
      <c r="E201" s="23">
        <f>1.78-0.374</f>
        <v>1.4060000000000001</v>
      </c>
    </row>
    <row r="202" spans="1:5" ht="28.5" hidden="1" x14ac:dyDescent="0.25">
      <c r="A202" s="22" t="s">
        <v>499</v>
      </c>
      <c r="B202" s="8" t="s">
        <v>30</v>
      </c>
      <c r="C202" s="8" t="s">
        <v>446</v>
      </c>
      <c r="D202" s="15" t="s">
        <v>77</v>
      </c>
      <c r="E202" s="24">
        <f>2.142</f>
        <v>2.1419999999999999</v>
      </c>
    </row>
    <row r="203" spans="1:5" ht="28.5" hidden="1" x14ac:dyDescent="0.25">
      <c r="A203" s="22" t="s">
        <v>499</v>
      </c>
      <c r="B203" s="8" t="s">
        <v>30</v>
      </c>
      <c r="C203" s="8" t="s">
        <v>225</v>
      </c>
      <c r="D203" s="15" t="s">
        <v>485</v>
      </c>
      <c r="E203" s="23">
        <f>2.106-1.008-0.364</f>
        <v>0.73399999999999987</v>
      </c>
    </row>
    <row r="204" spans="1:5" ht="28.5" hidden="1" x14ac:dyDescent="0.25">
      <c r="A204" s="22" t="s">
        <v>499</v>
      </c>
      <c r="B204" s="8" t="s">
        <v>30</v>
      </c>
      <c r="C204" s="8" t="s">
        <v>225</v>
      </c>
      <c r="D204" s="15" t="s">
        <v>145</v>
      </c>
      <c r="E204" s="23">
        <f>2.855</f>
        <v>2.855</v>
      </c>
    </row>
    <row r="205" spans="1:5" ht="28.5" hidden="1" x14ac:dyDescent="0.25">
      <c r="A205" s="22" t="s">
        <v>499</v>
      </c>
      <c r="B205" s="8" t="s">
        <v>30</v>
      </c>
      <c r="C205" s="8" t="s">
        <v>225</v>
      </c>
      <c r="D205" s="15" t="s">
        <v>310</v>
      </c>
      <c r="E205" s="23">
        <f>3.212-0.546+0.008</f>
        <v>2.6740000000000004</v>
      </c>
    </row>
    <row r="206" spans="1:5" ht="28.5" hidden="1" x14ac:dyDescent="0.25">
      <c r="A206" s="22" t="s">
        <v>499</v>
      </c>
      <c r="B206" s="8" t="s">
        <v>30</v>
      </c>
      <c r="C206" s="8" t="s">
        <v>225</v>
      </c>
      <c r="D206" s="15" t="s">
        <v>158</v>
      </c>
      <c r="E206" s="23">
        <v>3.569</v>
      </c>
    </row>
    <row r="207" spans="1:5" ht="28.5" hidden="1" x14ac:dyDescent="0.25">
      <c r="A207" s="22" t="s">
        <v>499</v>
      </c>
      <c r="B207" s="8" t="s">
        <v>30</v>
      </c>
      <c r="C207" s="8" t="s">
        <v>225</v>
      </c>
      <c r="D207" s="15" t="s">
        <v>230</v>
      </c>
      <c r="E207" s="23">
        <f>4.49-0.414+0.005</f>
        <v>4.0810000000000004</v>
      </c>
    </row>
    <row r="208" spans="1:5" ht="28.5" hidden="1" x14ac:dyDescent="0.25">
      <c r="A208" s="22" t="s">
        <v>499</v>
      </c>
      <c r="B208" s="8" t="s">
        <v>30</v>
      </c>
      <c r="C208" s="8" t="s">
        <v>225</v>
      </c>
      <c r="D208" s="15" t="s">
        <v>226</v>
      </c>
      <c r="E208" s="23">
        <v>3.0089999999999999</v>
      </c>
    </row>
    <row r="209" spans="1:5" ht="28.5" hidden="1" x14ac:dyDescent="0.25">
      <c r="A209" s="22" t="s">
        <v>499</v>
      </c>
      <c r="B209" s="1" t="s">
        <v>17</v>
      </c>
      <c r="C209" s="2" t="s">
        <v>14</v>
      </c>
      <c r="D209" s="3" t="s">
        <v>211</v>
      </c>
      <c r="E209" s="26">
        <f>1.704-1.125-0.288</f>
        <v>0.29099999999999998</v>
      </c>
    </row>
    <row r="210" spans="1:5" ht="28.5" hidden="1" x14ac:dyDescent="0.25">
      <c r="A210" s="22" t="s">
        <v>499</v>
      </c>
      <c r="B210" s="1" t="s">
        <v>17</v>
      </c>
      <c r="C210" s="2" t="s">
        <v>14</v>
      </c>
      <c r="D210" s="3" t="s">
        <v>233</v>
      </c>
      <c r="E210" s="26">
        <f>0.288-0.016</f>
        <v>0.27199999999999996</v>
      </c>
    </row>
    <row r="211" spans="1:5" ht="28.5" hidden="1" x14ac:dyDescent="0.25">
      <c r="A211" s="22" t="s">
        <v>499</v>
      </c>
      <c r="B211" s="1" t="s">
        <v>17</v>
      </c>
      <c r="C211" s="2" t="s">
        <v>14</v>
      </c>
      <c r="D211" s="3" t="s">
        <v>78</v>
      </c>
      <c r="E211" s="26">
        <f>1.06</f>
        <v>1.06</v>
      </c>
    </row>
    <row r="212" spans="1:5" ht="28.5" hidden="1" x14ac:dyDescent="0.25">
      <c r="A212" s="22" t="s">
        <v>499</v>
      </c>
      <c r="B212" s="1" t="s">
        <v>17</v>
      </c>
      <c r="C212" s="2" t="s">
        <v>14</v>
      </c>
      <c r="D212" s="3" t="s">
        <v>306</v>
      </c>
      <c r="E212" s="26">
        <f>1.235-0.42-0.411-0.028+0.006-0.082</f>
        <v>0.30000000000000016</v>
      </c>
    </row>
    <row r="213" spans="1:5" ht="28.5" hidden="1" x14ac:dyDescent="0.25">
      <c r="A213" s="22" t="s">
        <v>499</v>
      </c>
      <c r="B213" s="1" t="s">
        <v>17</v>
      </c>
      <c r="C213" s="2" t="s">
        <v>14</v>
      </c>
      <c r="D213" s="3" t="s">
        <v>64</v>
      </c>
      <c r="E213" s="26">
        <f>1.64</f>
        <v>1.64</v>
      </c>
    </row>
    <row r="214" spans="1:5" ht="28.5" hidden="1" x14ac:dyDescent="0.25">
      <c r="A214" s="22" t="s">
        <v>499</v>
      </c>
      <c r="B214" s="1" t="s">
        <v>17</v>
      </c>
      <c r="C214" s="2" t="s">
        <v>14</v>
      </c>
      <c r="D214" s="3" t="s">
        <v>274</v>
      </c>
      <c r="E214" s="27">
        <f>0.546-0.028-0.274</f>
        <v>0.24399999999999999</v>
      </c>
    </row>
    <row r="215" spans="1:5" ht="28.5" hidden="1" x14ac:dyDescent="0.25">
      <c r="A215" s="22" t="s">
        <v>499</v>
      </c>
      <c r="B215" s="1" t="s">
        <v>17</v>
      </c>
      <c r="C215" s="2" t="s">
        <v>14</v>
      </c>
      <c r="D215" s="3" t="s">
        <v>302</v>
      </c>
      <c r="E215" s="25">
        <f>0.682-0.232</f>
        <v>0.45000000000000007</v>
      </c>
    </row>
    <row r="216" spans="1:5" ht="28.5" hidden="1" x14ac:dyDescent="0.25">
      <c r="A216" s="22" t="s">
        <v>499</v>
      </c>
      <c r="B216" s="1" t="s">
        <v>17</v>
      </c>
      <c r="C216" s="2" t="s">
        <v>14</v>
      </c>
      <c r="D216" s="9" t="s">
        <v>61</v>
      </c>
      <c r="E216" s="26">
        <f>2.458-0.828</f>
        <v>1.6300000000000003</v>
      </c>
    </row>
    <row r="217" spans="1:5" ht="28.5" hidden="1" x14ac:dyDescent="0.25">
      <c r="A217" s="22" t="s">
        <v>499</v>
      </c>
      <c r="B217" s="1" t="s">
        <v>17</v>
      </c>
      <c r="C217" s="2" t="s">
        <v>14</v>
      </c>
      <c r="D217" s="9" t="s">
        <v>280</v>
      </c>
      <c r="E217" s="26">
        <f>0.828-0.248-0.042-0.012-0.408</f>
        <v>0.11799999999999994</v>
      </c>
    </row>
    <row r="218" spans="1:5" ht="28.5" hidden="1" x14ac:dyDescent="0.25">
      <c r="A218" s="22" t="s">
        <v>499</v>
      </c>
      <c r="B218" s="1" t="s">
        <v>17</v>
      </c>
      <c r="C218" s="2" t="s">
        <v>14</v>
      </c>
      <c r="D218" s="9" t="s">
        <v>90</v>
      </c>
      <c r="E218" s="26">
        <f>2.884-0.962</f>
        <v>1.9219999999999999</v>
      </c>
    </row>
    <row r="219" spans="1:5" ht="28.5" hidden="1" x14ac:dyDescent="0.25">
      <c r="A219" s="22" t="s">
        <v>499</v>
      </c>
      <c r="B219" s="1" t="s">
        <v>17</v>
      </c>
      <c r="C219" s="2" t="s">
        <v>14</v>
      </c>
      <c r="D219" s="9" t="s">
        <v>215</v>
      </c>
      <c r="E219" s="26">
        <f>0.962-0.066</f>
        <v>0.89599999999999991</v>
      </c>
    </row>
    <row r="220" spans="1:5" ht="28.5" hidden="1" x14ac:dyDescent="0.25">
      <c r="A220" s="22" t="s">
        <v>499</v>
      </c>
      <c r="B220" s="1" t="s">
        <v>17</v>
      </c>
      <c r="C220" s="2" t="s">
        <v>14</v>
      </c>
      <c r="D220" s="9" t="s">
        <v>352</v>
      </c>
      <c r="E220" s="27">
        <f>1.137-0.286-0.011-0.152-0.002-0.076-0.048-0.464-0.002</f>
        <v>9.5999999999999919E-2</v>
      </c>
    </row>
    <row r="221" spans="1:5" ht="28.5" hidden="1" x14ac:dyDescent="0.25">
      <c r="A221" s="22" t="s">
        <v>499</v>
      </c>
      <c r="B221" s="1" t="s">
        <v>17</v>
      </c>
      <c r="C221" s="2" t="s">
        <v>448</v>
      </c>
      <c r="D221" s="9" t="s">
        <v>36</v>
      </c>
      <c r="E221" s="27">
        <f>3.411</f>
        <v>3.411</v>
      </c>
    </row>
    <row r="222" spans="1:5" ht="28.5" hidden="1" x14ac:dyDescent="0.25">
      <c r="A222" s="22" t="s">
        <v>499</v>
      </c>
      <c r="B222" s="1" t="s">
        <v>17</v>
      </c>
      <c r="C222" s="2" t="s">
        <v>448</v>
      </c>
      <c r="D222" s="9" t="s">
        <v>46</v>
      </c>
      <c r="E222" s="27">
        <f>2.856</f>
        <v>2.8559999999999999</v>
      </c>
    </row>
    <row r="223" spans="1:5" ht="28.5" hidden="1" x14ac:dyDescent="0.25">
      <c r="A223" s="22" t="s">
        <v>499</v>
      </c>
      <c r="B223" s="1" t="s">
        <v>17</v>
      </c>
      <c r="C223" s="2" t="s">
        <v>14</v>
      </c>
      <c r="D223" s="9" t="s">
        <v>365</v>
      </c>
      <c r="E223" s="27">
        <f>2.856-1.428-0.482-0.014</f>
        <v>0.93199999999999994</v>
      </c>
    </row>
    <row r="224" spans="1:5" ht="28.5" hidden="1" x14ac:dyDescent="0.25">
      <c r="A224" s="22" t="s">
        <v>499</v>
      </c>
      <c r="B224" s="1" t="s">
        <v>17</v>
      </c>
      <c r="C224" s="2" t="s">
        <v>448</v>
      </c>
      <c r="D224" s="9" t="s">
        <v>152</v>
      </c>
      <c r="E224" s="27">
        <f>3.57</f>
        <v>3.57</v>
      </c>
    </row>
    <row r="225" spans="1:5" ht="28.5" hidden="1" x14ac:dyDescent="0.25">
      <c r="A225" s="22" t="s">
        <v>499</v>
      </c>
      <c r="B225" s="1" t="s">
        <v>17</v>
      </c>
      <c r="C225" s="2" t="s">
        <v>14</v>
      </c>
      <c r="D225" s="9" t="s">
        <v>344</v>
      </c>
      <c r="E225" s="25">
        <f>1.753-0.2-0.106-0.007-0.502-0.152-0.076-0.5-0.002</f>
        <v>0.20799999999999996</v>
      </c>
    </row>
    <row r="226" spans="1:5" ht="28.5" hidden="1" x14ac:dyDescent="0.25">
      <c r="A226" s="22" t="s">
        <v>499</v>
      </c>
      <c r="B226" s="1" t="s">
        <v>17</v>
      </c>
      <c r="C226" s="2" t="s">
        <v>14</v>
      </c>
      <c r="D226" s="9" t="s">
        <v>288</v>
      </c>
      <c r="E226" s="25">
        <f>2.85-1.4-0.05-0.466-0.004-0.24-0.004</f>
        <v>0.68600000000000017</v>
      </c>
    </row>
    <row r="227" spans="1:5" ht="28.5" hidden="1" x14ac:dyDescent="0.25">
      <c r="A227" s="22" t="s">
        <v>499</v>
      </c>
      <c r="B227" s="1" t="s">
        <v>17</v>
      </c>
      <c r="C227" s="2" t="s">
        <v>14</v>
      </c>
      <c r="D227" s="9" t="s">
        <v>281</v>
      </c>
      <c r="E227" s="25">
        <f>4.284-2.092-0.876-0.102</f>
        <v>1.2139999999999997</v>
      </c>
    </row>
    <row r="228" spans="1:5" ht="28.5" hidden="1" x14ac:dyDescent="0.25">
      <c r="A228" s="22" t="s">
        <v>499</v>
      </c>
      <c r="B228" s="1" t="s">
        <v>17</v>
      </c>
      <c r="C228" s="2" t="s">
        <v>14</v>
      </c>
      <c r="D228" s="9" t="s">
        <v>301</v>
      </c>
      <c r="E228" s="25">
        <f>2.092-0.182-1.052-0.002-0.25-0.13</f>
        <v>0.47600000000000009</v>
      </c>
    </row>
    <row r="229" spans="1:5" ht="28.5" hidden="1" x14ac:dyDescent="0.25">
      <c r="A229" s="22" t="s">
        <v>499</v>
      </c>
      <c r="B229" s="1" t="s">
        <v>17</v>
      </c>
      <c r="C229" s="2" t="s">
        <v>14</v>
      </c>
      <c r="D229" s="9" t="s">
        <v>77</v>
      </c>
      <c r="E229" s="25">
        <f>4.23</f>
        <v>4.2300000000000004</v>
      </c>
    </row>
    <row r="230" spans="1:5" ht="28.5" hidden="1" x14ac:dyDescent="0.25">
      <c r="A230" s="22" t="s">
        <v>499</v>
      </c>
      <c r="B230" s="1" t="s">
        <v>17</v>
      </c>
      <c r="C230" s="2" t="s">
        <v>14</v>
      </c>
      <c r="D230" s="9" t="s">
        <v>316</v>
      </c>
      <c r="E230" s="25">
        <f>5.71-2.824-0.484-0.05-1.428-0.004-0.224-0.128-0.182</f>
        <v>0.3860000000000004</v>
      </c>
    </row>
    <row r="231" spans="1:5" ht="28.5" hidden="1" x14ac:dyDescent="0.25">
      <c r="A231" s="22" t="s">
        <v>499</v>
      </c>
      <c r="B231" s="1" t="s">
        <v>17</v>
      </c>
      <c r="C231" s="2" t="s">
        <v>14</v>
      </c>
      <c r="D231" s="9" t="s">
        <v>303</v>
      </c>
      <c r="E231" s="25">
        <f>2.822-0.47</f>
        <v>2.3520000000000003</v>
      </c>
    </row>
    <row r="232" spans="1:5" ht="28.5" hidden="1" x14ac:dyDescent="0.25">
      <c r="A232" s="22" t="s">
        <v>499</v>
      </c>
      <c r="B232" s="1" t="s">
        <v>17</v>
      </c>
      <c r="C232" s="2" t="s">
        <v>14</v>
      </c>
      <c r="D232" s="9" t="s">
        <v>457</v>
      </c>
      <c r="E232" s="25">
        <f>3.212-0.278-0.018-0.224-0.002</f>
        <v>2.6900000000000004</v>
      </c>
    </row>
    <row r="233" spans="1:5" ht="28.5" hidden="1" x14ac:dyDescent="0.25">
      <c r="A233" s="22" t="s">
        <v>499</v>
      </c>
      <c r="B233" s="1" t="s">
        <v>17</v>
      </c>
      <c r="C233" s="2" t="s">
        <v>14</v>
      </c>
      <c r="D233" s="9" t="s">
        <v>166</v>
      </c>
      <c r="E233" s="25">
        <f>3-1.528-0.774+0.034-0.24-0.002</f>
        <v>0.49</v>
      </c>
    </row>
    <row r="234" spans="1:5" ht="28.5" hidden="1" x14ac:dyDescent="0.25">
      <c r="A234" s="22" t="s">
        <v>499</v>
      </c>
      <c r="B234" s="1" t="s">
        <v>17</v>
      </c>
      <c r="C234" s="2" t="s">
        <v>14</v>
      </c>
      <c r="D234" s="9" t="s">
        <v>158</v>
      </c>
      <c r="E234" s="25">
        <f>3.569</f>
        <v>3.569</v>
      </c>
    </row>
    <row r="235" spans="1:5" ht="28.5" hidden="1" x14ac:dyDescent="0.25">
      <c r="A235" s="22" t="s">
        <v>499</v>
      </c>
      <c r="B235" s="1" t="s">
        <v>17</v>
      </c>
      <c r="C235" s="2" t="s">
        <v>14</v>
      </c>
      <c r="D235" s="9" t="s">
        <v>224</v>
      </c>
      <c r="E235" s="25">
        <f>4.646</f>
        <v>4.6459999999999999</v>
      </c>
    </row>
    <row r="236" spans="1:5" ht="28.5" hidden="1" x14ac:dyDescent="0.25">
      <c r="A236" s="22" t="s">
        <v>499</v>
      </c>
      <c r="B236" s="1" t="s">
        <v>17</v>
      </c>
      <c r="C236" s="2" t="s">
        <v>448</v>
      </c>
      <c r="D236" s="9" t="s">
        <v>449</v>
      </c>
      <c r="E236" s="25">
        <f>2.963</f>
        <v>2.9630000000000001</v>
      </c>
    </row>
    <row r="237" spans="1:5" ht="28.5" hidden="1" x14ac:dyDescent="0.25">
      <c r="A237" s="22" t="s">
        <v>499</v>
      </c>
      <c r="B237" s="1" t="s">
        <v>17</v>
      </c>
      <c r="C237" s="2" t="s">
        <v>14</v>
      </c>
      <c r="D237" s="9" t="s">
        <v>283</v>
      </c>
      <c r="E237" s="26">
        <f>2.855-0.228+0.165-1.54</f>
        <v>1.2519999999999998</v>
      </c>
    </row>
    <row r="238" spans="1:5" ht="28.5" hidden="1" x14ac:dyDescent="0.25">
      <c r="A238" s="22" t="s">
        <v>499</v>
      </c>
      <c r="B238" s="1" t="s">
        <v>17</v>
      </c>
      <c r="C238" s="2" t="s">
        <v>440</v>
      </c>
      <c r="D238" s="9" t="s">
        <v>491</v>
      </c>
      <c r="E238" s="28">
        <f>2.98-0.219-0.354</f>
        <v>2.407</v>
      </c>
    </row>
    <row r="239" spans="1:5" ht="28.5" hidden="1" x14ac:dyDescent="0.25">
      <c r="A239" s="22" t="s">
        <v>499</v>
      </c>
      <c r="B239" s="1" t="s">
        <v>18</v>
      </c>
      <c r="C239" s="2" t="s">
        <v>14</v>
      </c>
      <c r="D239" s="15" t="s">
        <v>200</v>
      </c>
      <c r="E239" s="23">
        <f>2.985-1.358-0.124-0.124-0.123-0.123</f>
        <v>1.1329999999999996</v>
      </c>
    </row>
    <row r="240" spans="1:5" ht="28.5" hidden="1" x14ac:dyDescent="0.25">
      <c r="A240" s="22" t="s">
        <v>499</v>
      </c>
      <c r="B240" s="1" t="s">
        <v>18</v>
      </c>
      <c r="C240" s="2" t="s">
        <v>14</v>
      </c>
      <c r="D240" s="15" t="s">
        <v>346</v>
      </c>
      <c r="E240" s="23">
        <f>1.137-0.096-0.019-0.22-0.094</f>
        <v>0.70800000000000007</v>
      </c>
    </row>
    <row r="241" spans="1:5" ht="28.5" hidden="1" x14ac:dyDescent="0.25">
      <c r="A241" s="22" t="s">
        <v>499</v>
      </c>
      <c r="B241" s="1" t="s">
        <v>18</v>
      </c>
      <c r="C241" s="2" t="s">
        <v>14</v>
      </c>
      <c r="D241" s="15" t="s">
        <v>90</v>
      </c>
      <c r="E241" s="23">
        <f>2.982</f>
        <v>2.9820000000000002</v>
      </c>
    </row>
    <row r="242" spans="1:5" ht="28.5" hidden="1" x14ac:dyDescent="0.25">
      <c r="A242" s="22" t="s">
        <v>499</v>
      </c>
      <c r="B242" s="1" t="s">
        <v>18</v>
      </c>
      <c r="C242" s="2" t="s">
        <v>14</v>
      </c>
      <c r="D242" s="15" t="s">
        <v>213</v>
      </c>
      <c r="E242" s="23">
        <f>1.042-0.518-0.014-0.048-0.2+0.01-0.188-0.002</f>
        <v>8.2000000000000017E-2</v>
      </c>
    </row>
    <row r="243" spans="1:5" ht="28.5" hidden="1" x14ac:dyDescent="0.25">
      <c r="A243" s="22" t="s">
        <v>499</v>
      </c>
      <c r="B243" s="1" t="s">
        <v>18</v>
      </c>
      <c r="C243" s="2" t="s">
        <v>14</v>
      </c>
      <c r="D243" s="15" t="s">
        <v>36</v>
      </c>
      <c r="E243" s="23">
        <f>3.411-1.12</f>
        <v>2.2909999999999999</v>
      </c>
    </row>
    <row r="244" spans="1:5" ht="28.5" hidden="1" x14ac:dyDescent="0.25">
      <c r="A244" s="22" t="s">
        <v>499</v>
      </c>
      <c r="B244" s="1" t="s">
        <v>18</v>
      </c>
      <c r="C244" s="2" t="s">
        <v>14</v>
      </c>
      <c r="D244" s="15" t="s">
        <v>348</v>
      </c>
      <c r="E244" s="23">
        <f>1.12-0.372-0.3-0.002</f>
        <v>0.44600000000000012</v>
      </c>
    </row>
    <row r="245" spans="1:5" ht="28.5" hidden="1" x14ac:dyDescent="0.25">
      <c r="A245" s="22" t="s">
        <v>499</v>
      </c>
      <c r="B245" s="1" t="s">
        <v>18</v>
      </c>
      <c r="C245" s="2" t="s">
        <v>14</v>
      </c>
      <c r="D245" s="15" t="s">
        <v>46</v>
      </c>
      <c r="E245" s="23">
        <v>2.8559999999999999</v>
      </c>
    </row>
    <row r="246" spans="1:5" ht="28.5" hidden="1" x14ac:dyDescent="0.25">
      <c r="A246" s="22" t="s">
        <v>499</v>
      </c>
      <c r="B246" s="1" t="s">
        <v>18</v>
      </c>
      <c r="C246" s="2" t="s">
        <v>14</v>
      </c>
      <c r="D246" s="15" t="s">
        <v>309</v>
      </c>
      <c r="E246" s="23">
        <f>3.57-1.79-0.17-0.3-0.012-0.722-0.256-0.08</f>
        <v>0.23999999999999982</v>
      </c>
    </row>
    <row r="247" spans="1:5" ht="28.5" hidden="1" x14ac:dyDescent="0.25">
      <c r="A247" s="22" t="s">
        <v>499</v>
      </c>
      <c r="B247" s="1" t="s">
        <v>18</v>
      </c>
      <c r="C247" s="2" t="s">
        <v>14</v>
      </c>
      <c r="D247" s="15" t="s">
        <v>347</v>
      </c>
      <c r="E247" s="23">
        <f>1.785-0.456-0.031-0.296</f>
        <v>1.002</v>
      </c>
    </row>
    <row r="248" spans="1:5" ht="28.5" hidden="1" x14ac:dyDescent="0.25">
      <c r="A248" s="22" t="s">
        <v>499</v>
      </c>
      <c r="B248" s="1" t="s">
        <v>18</v>
      </c>
      <c r="C248" s="2" t="s">
        <v>14</v>
      </c>
      <c r="D248" s="15" t="s">
        <v>152</v>
      </c>
      <c r="E248" s="23">
        <f>3.46</f>
        <v>3.46</v>
      </c>
    </row>
    <row r="249" spans="1:5" ht="28.5" hidden="1" x14ac:dyDescent="0.25">
      <c r="A249" s="22" t="s">
        <v>499</v>
      </c>
      <c r="B249" s="1" t="s">
        <v>18</v>
      </c>
      <c r="C249" s="2" t="s">
        <v>14</v>
      </c>
      <c r="D249" s="15" t="s">
        <v>300</v>
      </c>
      <c r="E249" s="23">
        <f>4.228-2.032-0.11-0.244-0.006-0.486-0.002-0.126-0.12-0.002</f>
        <v>1.0999999999999999</v>
      </c>
    </row>
    <row r="250" spans="1:5" ht="28.5" hidden="1" x14ac:dyDescent="0.25">
      <c r="A250" s="22" t="s">
        <v>499</v>
      </c>
      <c r="B250" s="1" t="s">
        <v>18</v>
      </c>
      <c r="C250" s="2" t="s">
        <v>14</v>
      </c>
      <c r="D250" s="15" t="s">
        <v>77</v>
      </c>
      <c r="E250" s="23">
        <f>4.284-2.142</f>
        <v>2.1419999999999999</v>
      </c>
    </row>
    <row r="251" spans="1:5" ht="28.5" hidden="1" x14ac:dyDescent="0.25">
      <c r="A251" s="22" t="s">
        <v>499</v>
      </c>
      <c r="B251" s="1" t="s">
        <v>18</v>
      </c>
      <c r="C251" s="2" t="s">
        <v>14</v>
      </c>
      <c r="D251" s="15" t="s">
        <v>282</v>
      </c>
      <c r="E251" s="23">
        <f>2.107-1.055-0.18-0.358</f>
        <v>0.51400000000000035</v>
      </c>
    </row>
    <row r="252" spans="1:5" ht="28.5" hidden="1" x14ac:dyDescent="0.25">
      <c r="A252" s="22" t="s">
        <v>499</v>
      </c>
      <c r="B252" s="1" t="s">
        <v>18</v>
      </c>
      <c r="C252" s="2" t="s">
        <v>14</v>
      </c>
      <c r="D252" s="15" t="s">
        <v>350</v>
      </c>
      <c r="E252" s="23">
        <f>2.855-0.74-0.015-0.486-0.158-0.002-0.126+0.002</f>
        <v>1.3300000000000003</v>
      </c>
    </row>
    <row r="253" spans="1:5" ht="28.5" hidden="1" x14ac:dyDescent="0.25">
      <c r="A253" s="22" t="s">
        <v>499</v>
      </c>
      <c r="B253" s="1" t="s">
        <v>18</v>
      </c>
      <c r="C253" s="2" t="s">
        <v>14</v>
      </c>
      <c r="D253" s="15" t="s">
        <v>292</v>
      </c>
      <c r="E253" s="23">
        <f>3.569-0.618+0.031-0.599-0.614-0.015-0.372-0.002-0.46-0.002</f>
        <v>0.91800000000000015</v>
      </c>
    </row>
    <row r="254" spans="1:5" ht="28.5" hidden="1" x14ac:dyDescent="0.25">
      <c r="A254" s="22" t="s">
        <v>499</v>
      </c>
      <c r="B254" s="1" t="s">
        <v>18</v>
      </c>
      <c r="C254" s="2" t="s">
        <v>14</v>
      </c>
      <c r="D254" s="15" t="s">
        <v>258</v>
      </c>
      <c r="E254" s="23">
        <f>3.569-1.526+0.091</f>
        <v>2.1340000000000003</v>
      </c>
    </row>
    <row r="255" spans="1:5" ht="28.5" hidden="1" x14ac:dyDescent="0.25">
      <c r="A255" s="22" t="s">
        <v>499</v>
      </c>
      <c r="B255" s="1" t="s">
        <v>18</v>
      </c>
      <c r="C255" s="2" t="s">
        <v>14</v>
      </c>
      <c r="D255" s="15" t="s">
        <v>349</v>
      </c>
      <c r="E255" s="23">
        <f>4.78-0.782-0.25-0.374-0.004-0.658-0.002-0.612-0.002-1.286-0.328-0.002</f>
        <v>0.48000000000000048</v>
      </c>
    </row>
    <row r="256" spans="1:5" ht="28.5" hidden="1" x14ac:dyDescent="0.25">
      <c r="A256" s="22" t="s">
        <v>499</v>
      </c>
      <c r="B256" s="1" t="s">
        <v>18</v>
      </c>
      <c r="C256" s="2" t="s">
        <v>14</v>
      </c>
      <c r="D256" s="3" t="s">
        <v>351</v>
      </c>
      <c r="E256" s="28">
        <f>2.83-0.198+0.032</f>
        <v>2.6640000000000001</v>
      </c>
    </row>
    <row r="257" spans="1:5" ht="28.5" hidden="1" x14ac:dyDescent="0.25">
      <c r="A257" s="22" t="s">
        <v>499</v>
      </c>
      <c r="B257" s="1" t="s">
        <v>18</v>
      </c>
      <c r="C257" s="2" t="s">
        <v>19</v>
      </c>
      <c r="D257" s="3" t="s">
        <v>120</v>
      </c>
      <c r="E257" s="28">
        <f>0.645-0.173-0.336-0.021</f>
        <v>0.115</v>
      </c>
    </row>
    <row r="258" spans="1:5" ht="28.5" hidden="1" x14ac:dyDescent="0.25">
      <c r="A258" s="22" t="s">
        <v>499</v>
      </c>
      <c r="B258" s="1" t="s">
        <v>18</v>
      </c>
      <c r="C258" s="2" t="s">
        <v>14</v>
      </c>
      <c r="D258" s="3" t="s">
        <v>492</v>
      </c>
      <c r="E258" s="26">
        <f>3.077-0.796</f>
        <v>2.2809999999999997</v>
      </c>
    </row>
    <row r="259" spans="1:5" ht="28.5" hidden="1" x14ac:dyDescent="0.25">
      <c r="A259" s="22" t="s">
        <v>499</v>
      </c>
      <c r="B259" s="1" t="s">
        <v>95</v>
      </c>
      <c r="C259" s="2" t="s">
        <v>155</v>
      </c>
      <c r="D259" s="3" t="s">
        <v>9</v>
      </c>
      <c r="E259" s="26">
        <f>1.05</f>
        <v>1.05</v>
      </c>
    </row>
    <row r="260" spans="1:5" ht="28.5" hidden="1" x14ac:dyDescent="0.25">
      <c r="A260" s="22" t="s">
        <v>499</v>
      </c>
      <c r="B260" s="1" t="s">
        <v>95</v>
      </c>
      <c r="C260" s="2" t="s">
        <v>155</v>
      </c>
      <c r="D260" s="3" t="s">
        <v>9</v>
      </c>
      <c r="E260" s="26">
        <f>0.975</f>
        <v>0.97499999999999998</v>
      </c>
    </row>
    <row r="261" spans="1:5" ht="28.5" hidden="1" x14ac:dyDescent="0.25">
      <c r="A261" s="22" t="s">
        <v>499</v>
      </c>
      <c r="B261" s="1" t="s">
        <v>95</v>
      </c>
      <c r="C261" s="2" t="s">
        <v>155</v>
      </c>
      <c r="D261" s="3" t="s">
        <v>88</v>
      </c>
      <c r="E261" s="26">
        <f>5.3-1.135-0.294-0.39-3</f>
        <v>0.48099999999999987</v>
      </c>
    </row>
    <row r="262" spans="1:5" ht="28.5" hidden="1" x14ac:dyDescent="0.25">
      <c r="A262" s="22" t="s">
        <v>499</v>
      </c>
      <c r="B262" s="1" t="s">
        <v>95</v>
      </c>
      <c r="C262" s="2" t="s">
        <v>155</v>
      </c>
      <c r="D262" s="3" t="s">
        <v>153</v>
      </c>
      <c r="E262" s="26">
        <f>2.045</f>
        <v>2.0449999999999999</v>
      </c>
    </row>
    <row r="263" spans="1:5" ht="28.5" hidden="1" x14ac:dyDescent="0.25">
      <c r="A263" s="22" t="s">
        <v>499</v>
      </c>
      <c r="B263" s="1" t="s">
        <v>95</v>
      </c>
      <c r="C263" s="2" t="s">
        <v>155</v>
      </c>
      <c r="D263" s="3" t="s">
        <v>154</v>
      </c>
      <c r="E263" s="28">
        <f>0.955-0.16</f>
        <v>0.79499999999999993</v>
      </c>
    </row>
    <row r="264" spans="1:5" ht="28.5" hidden="1" x14ac:dyDescent="0.25">
      <c r="A264" s="22" t="s">
        <v>499</v>
      </c>
      <c r="B264" s="1" t="s">
        <v>95</v>
      </c>
      <c r="C264" s="2" t="s">
        <v>155</v>
      </c>
      <c r="D264" s="3" t="s">
        <v>312</v>
      </c>
      <c r="E264" s="28">
        <f>2.24</f>
        <v>2.2400000000000002</v>
      </c>
    </row>
    <row r="265" spans="1:5" ht="28.5" hidden="1" x14ac:dyDescent="0.25">
      <c r="A265" s="22" t="s">
        <v>499</v>
      </c>
      <c r="B265" s="1" t="s">
        <v>429</v>
      </c>
      <c r="C265" s="2" t="s">
        <v>430</v>
      </c>
      <c r="D265" s="3" t="s">
        <v>431</v>
      </c>
      <c r="E265" s="28">
        <f>0.572</f>
        <v>0.57199999999999995</v>
      </c>
    </row>
    <row r="266" spans="1:5" ht="28.5" hidden="1" x14ac:dyDescent="0.25">
      <c r="A266" s="29" t="s">
        <v>500</v>
      </c>
      <c r="B266" s="1" t="s">
        <v>16</v>
      </c>
      <c r="C266" s="15" t="s">
        <v>375</v>
      </c>
      <c r="D266" s="15" t="s">
        <v>377</v>
      </c>
      <c r="E266" s="23">
        <f>0.74-0.375</f>
        <v>0.36499999999999999</v>
      </c>
    </row>
    <row r="267" spans="1:5" ht="28.5" hidden="1" x14ac:dyDescent="0.25">
      <c r="A267" s="29" t="s">
        <v>500</v>
      </c>
      <c r="B267" s="1" t="s">
        <v>16</v>
      </c>
      <c r="C267" s="15" t="s">
        <v>375</v>
      </c>
      <c r="D267" s="15" t="s">
        <v>456</v>
      </c>
      <c r="E267" s="23">
        <f>0.51-0.376</f>
        <v>0.13400000000000001</v>
      </c>
    </row>
    <row r="268" spans="1:5" ht="28.5" hidden="1" x14ac:dyDescent="0.25">
      <c r="A268" s="29" t="s">
        <v>500</v>
      </c>
      <c r="B268" s="1" t="s">
        <v>16</v>
      </c>
      <c r="C268" s="15" t="s">
        <v>375</v>
      </c>
      <c r="D268" s="15" t="s">
        <v>455</v>
      </c>
      <c r="E268" s="23">
        <f>0.58-0.392</f>
        <v>0.18799999999999994</v>
      </c>
    </row>
    <row r="269" spans="1:5" ht="28.5" hidden="1" x14ac:dyDescent="0.25">
      <c r="A269" s="29" t="s">
        <v>500</v>
      </c>
      <c r="B269" s="1" t="s">
        <v>16</v>
      </c>
      <c r="C269" s="1" t="s">
        <v>117</v>
      </c>
      <c r="D269" s="3" t="s">
        <v>7</v>
      </c>
      <c r="E269" s="28">
        <f>4.16-0.183-0.032-0.185-0.094-0.032-0.032-0.032-0.122-0.032-0.033-0.126-0.064-0.064-0.228-0.072-0.032-0.03-0.032-0.03-0.032-0.092-0.03-0.032-1.2-0.06-0.032-0.12-0.031-0.032-0.031-0.031-0.03-0.032-0.118</f>
        <v>0.80200000000000071</v>
      </c>
    </row>
    <row r="270" spans="1:5" ht="28.5" hidden="1" x14ac:dyDescent="0.25">
      <c r="A270" s="29" t="s">
        <v>500</v>
      </c>
      <c r="B270" s="1" t="s">
        <v>16</v>
      </c>
      <c r="C270" s="1" t="s">
        <v>117</v>
      </c>
      <c r="D270" s="3" t="s">
        <v>262</v>
      </c>
      <c r="E270" s="28">
        <v>0.124</v>
      </c>
    </row>
    <row r="271" spans="1:5" ht="28.5" hidden="1" x14ac:dyDescent="0.25">
      <c r="A271" s="29" t="s">
        <v>500</v>
      </c>
      <c r="B271" s="1" t="s">
        <v>16</v>
      </c>
      <c r="C271" s="1" t="s">
        <v>117</v>
      </c>
      <c r="D271" s="3" t="s">
        <v>7</v>
      </c>
      <c r="E271" s="28">
        <v>3.93</v>
      </c>
    </row>
    <row r="272" spans="1:5" ht="28.5" hidden="1" x14ac:dyDescent="0.25">
      <c r="A272" s="29" t="s">
        <v>500</v>
      </c>
      <c r="B272" s="1" t="s">
        <v>16</v>
      </c>
      <c r="C272" s="1" t="s">
        <v>117</v>
      </c>
      <c r="D272" s="3" t="s">
        <v>8</v>
      </c>
      <c r="E272" s="26">
        <f>4.06-0.096-0.186-0.096-0.048-0.095-0.095-0.048-0.096-0.188-0.048-0.048-0.094-0.425-0.094-0.046</f>
        <v>2.3569999999999993</v>
      </c>
    </row>
    <row r="273" spans="1:5" ht="28.5" hidden="1" x14ac:dyDescent="0.25">
      <c r="A273" s="29" t="s">
        <v>500</v>
      </c>
      <c r="B273" s="1" t="s">
        <v>16</v>
      </c>
      <c r="C273" s="1" t="s">
        <v>117</v>
      </c>
      <c r="D273" s="3" t="s">
        <v>9</v>
      </c>
      <c r="E273" s="28">
        <f>7.93-2.786-0.124-0.062-0.064-0.5-0.063-0.063-1.485-0.62-0.063</f>
        <v>2.1</v>
      </c>
    </row>
    <row r="274" spans="1:5" ht="28.5" hidden="1" x14ac:dyDescent="0.25">
      <c r="A274" s="29" t="s">
        <v>500</v>
      </c>
      <c r="B274" s="1" t="s">
        <v>16</v>
      </c>
      <c r="C274" s="1" t="s">
        <v>117</v>
      </c>
      <c r="D274" s="3" t="s">
        <v>136</v>
      </c>
      <c r="E274" s="26">
        <f>8.02-0.344-0.701-0.354-0.344-0.348-0.698-0.344-1.42-0.35</f>
        <v>3.1169999999999995</v>
      </c>
    </row>
    <row r="275" spans="1:5" ht="28.5" hidden="1" x14ac:dyDescent="0.25">
      <c r="A275" s="29" t="s">
        <v>500</v>
      </c>
      <c r="B275" s="1" t="s">
        <v>16</v>
      </c>
      <c r="C275" s="1" t="s">
        <v>117</v>
      </c>
      <c r="D275" s="3" t="s">
        <v>450</v>
      </c>
      <c r="E275" s="26">
        <f>0.344-0.172-0.015-0.058-0.001</f>
        <v>9.7999999999999976E-2</v>
      </c>
    </row>
    <row r="276" spans="1:5" ht="28.5" hidden="1" x14ac:dyDescent="0.25">
      <c r="A276" s="29" t="s">
        <v>500</v>
      </c>
      <c r="B276" s="1" t="s">
        <v>16</v>
      </c>
      <c r="C276" s="1" t="s">
        <v>110</v>
      </c>
      <c r="D276" s="3" t="s">
        <v>284</v>
      </c>
      <c r="E276" s="26">
        <f>3.81-1.672-0.864-0.436-0.43-0.07+0.013-0.14-0.001-0.106-0.018-0.002-0.036</f>
        <v>4.8000000000000077E-2</v>
      </c>
    </row>
    <row r="277" spans="1:5" ht="28.5" hidden="1" x14ac:dyDescent="0.25">
      <c r="A277" s="29" t="s">
        <v>500</v>
      </c>
      <c r="B277" s="1" t="s">
        <v>16</v>
      </c>
      <c r="C277" s="1" t="s">
        <v>110</v>
      </c>
      <c r="D277" s="3" t="s">
        <v>64</v>
      </c>
      <c r="E277" s="26">
        <f>4.38-0.44-0.436-0.44-0.44-0.422-0.434-0.87</f>
        <v>0.89800000000000002</v>
      </c>
    </row>
    <row r="278" spans="1:5" ht="28.5" hidden="1" x14ac:dyDescent="0.25">
      <c r="A278" s="29" t="s">
        <v>500</v>
      </c>
      <c r="B278" s="1" t="s">
        <v>16</v>
      </c>
      <c r="C278" s="1" t="s">
        <v>110</v>
      </c>
      <c r="D278" s="3" t="s">
        <v>436</v>
      </c>
      <c r="E278" s="26">
        <f>0.434-0.112</f>
        <v>0.32200000000000001</v>
      </c>
    </row>
    <row r="279" spans="1:5" ht="28.5" hidden="1" x14ac:dyDescent="0.25">
      <c r="A279" s="29" t="s">
        <v>500</v>
      </c>
      <c r="B279" s="1" t="s">
        <v>16</v>
      </c>
      <c r="C279" s="1" t="s">
        <v>110</v>
      </c>
      <c r="D279" s="3" t="s">
        <v>451</v>
      </c>
      <c r="E279" s="26">
        <f>0.44-0.22-0.11-0.072-0.004</f>
        <v>3.4000000000000002E-2</v>
      </c>
    </row>
    <row r="280" spans="1:5" ht="28.5" hidden="1" x14ac:dyDescent="0.25">
      <c r="A280" s="29" t="s">
        <v>500</v>
      </c>
      <c r="B280" s="1" t="s">
        <v>16</v>
      </c>
      <c r="C280" s="1" t="s">
        <v>110</v>
      </c>
      <c r="D280" s="3" t="s">
        <v>64</v>
      </c>
      <c r="E280" s="26">
        <f>3-0.436</f>
        <v>2.5640000000000001</v>
      </c>
    </row>
    <row r="281" spans="1:5" ht="28.5" hidden="1" x14ac:dyDescent="0.25">
      <c r="A281" s="29" t="s">
        <v>500</v>
      </c>
      <c r="B281" s="1" t="s">
        <v>16</v>
      </c>
      <c r="C281" s="9" t="s">
        <v>87</v>
      </c>
      <c r="D281" s="3" t="s">
        <v>313</v>
      </c>
      <c r="E281" s="26">
        <f>0.706-0.354-0.178-0.096-0.039+0.001</f>
        <v>3.9999999999999987E-2</v>
      </c>
    </row>
    <row r="282" spans="1:5" ht="28.5" hidden="1" x14ac:dyDescent="0.25">
      <c r="A282" s="29" t="s">
        <v>500</v>
      </c>
      <c r="B282" s="1" t="s">
        <v>16</v>
      </c>
      <c r="C282" s="9" t="s">
        <v>87</v>
      </c>
      <c r="D282" s="3" t="s">
        <v>12</v>
      </c>
      <c r="E282" s="26">
        <f>4.26-1.428-0.709</f>
        <v>2.1229999999999998</v>
      </c>
    </row>
    <row r="283" spans="1:5" ht="28.5" hidden="1" x14ac:dyDescent="0.25">
      <c r="A283" s="29" t="s">
        <v>500</v>
      </c>
      <c r="B283" s="1" t="s">
        <v>16</v>
      </c>
      <c r="C283" s="9" t="s">
        <v>87</v>
      </c>
      <c r="D283" s="3" t="s">
        <v>476</v>
      </c>
      <c r="E283" s="26">
        <f>0.709-0.043-0.178+0.002-0.355</f>
        <v>0.13499999999999995</v>
      </c>
    </row>
    <row r="284" spans="1:5" ht="28.5" hidden="1" x14ac:dyDescent="0.25">
      <c r="A284" s="29" t="s">
        <v>500</v>
      </c>
      <c r="B284" s="1" t="s">
        <v>16</v>
      </c>
      <c r="C284" s="9" t="s">
        <v>87</v>
      </c>
      <c r="D284" s="3" t="s">
        <v>12</v>
      </c>
      <c r="E284" s="26">
        <f>2.11</f>
        <v>2.11</v>
      </c>
    </row>
    <row r="285" spans="1:5" ht="28.5" hidden="1" x14ac:dyDescent="0.25">
      <c r="A285" s="29" t="s">
        <v>500</v>
      </c>
      <c r="B285" s="1" t="s">
        <v>16</v>
      </c>
      <c r="C285" s="9" t="s">
        <v>87</v>
      </c>
      <c r="D285" s="3" t="s">
        <v>345</v>
      </c>
      <c r="E285" s="26">
        <f>0.843-0.115-0.394-0.08-0.002-0.044-0.05</f>
        <v>0.15799999999999997</v>
      </c>
    </row>
    <row r="286" spans="1:5" ht="28.5" hidden="1" x14ac:dyDescent="0.25">
      <c r="A286" s="29" t="s">
        <v>500</v>
      </c>
      <c r="B286" s="1" t="s">
        <v>16</v>
      </c>
      <c r="C286" s="9" t="s">
        <v>87</v>
      </c>
      <c r="D286" s="3" t="s">
        <v>61</v>
      </c>
      <c r="E286" s="26">
        <f>4.15-0.83-0.832-0.83-0.832</f>
        <v>0.8260000000000004</v>
      </c>
    </row>
    <row r="287" spans="1:5" ht="28.5" hidden="1" x14ac:dyDescent="0.25">
      <c r="A287" s="29" t="s">
        <v>500</v>
      </c>
      <c r="B287" s="1" t="s">
        <v>16</v>
      </c>
      <c r="C287" s="9" t="s">
        <v>87</v>
      </c>
      <c r="D287" s="3" t="s">
        <v>437</v>
      </c>
      <c r="E287" s="26">
        <f>0.832-0.502-0.216-0.002</f>
        <v>0.11199999999999996</v>
      </c>
    </row>
    <row r="288" spans="1:5" ht="28.5" hidden="1" x14ac:dyDescent="0.25">
      <c r="A288" s="29" t="s">
        <v>500</v>
      </c>
      <c r="B288" s="1" t="s">
        <v>16</v>
      </c>
      <c r="C288" s="3" t="s">
        <v>239</v>
      </c>
      <c r="D288" s="3" t="s">
        <v>235</v>
      </c>
      <c r="E288" s="26">
        <v>0.22900000000000001</v>
      </c>
    </row>
    <row r="289" spans="1:5" ht="28.5" hidden="1" x14ac:dyDescent="0.25">
      <c r="A289" s="29" t="s">
        <v>500</v>
      </c>
      <c r="B289" s="1" t="s">
        <v>16</v>
      </c>
      <c r="C289" s="3" t="s">
        <v>239</v>
      </c>
      <c r="D289" s="3" t="s">
        <v>236</v>
      </c>
      <c r="E289" s="26">
        <f>5.477-0.082-1.708-0.08</f>
        <v>3.6070000000000002</v>
      </c>
    </row>
    <row r="290" spans="1:5" ht="28.5" hidden="1" x14ac:dyDescent="0.25">
      <c r="A290" s="29" t="s">
        <v>500</v>
      </c>
      <c r="B290" s="1" t="s">
        <v>16</v>
      </c>
      <c r="C290" s="9" t="s">
        <v>87</v>
      </c>
      <c r="D290" s="9" t="s">
        <v>251</v>
      </c>
      <c r="E290" s="26">
        <f>0.99-0.084</f>
        <v>0.90600000000000003</v>
      </c>
    </row>
    <row r="291" spans="1:5" ht="28.5" hidden="1" x14ac:dyDescent="0.25">
      <c r="A291" s="29" t="s">
        <v>500</v>
      </c>
      <c r="B291" s="1" t="s">
        <v>16</v>
      </c>
      <c r="C291" s="9" t="s">
        <v>87</v>
      </c>
      <c r="D291" s="9" t="s">
        <v>90</v>
      </c>
      <c r="E291" s="26">
        <f>3.9</f>
        <v>3.9</v>
      </c>
    </row>
    <row r="292" spans="1:5" ht="28.5" hidden="1" x14ac:dyDescent="0.25">
      <c r="A292" s="29" t="s">
        <v>500</v>
      </c>
      <c r="B292" s="1" t="s">
        <v>16</v>
      </c>
      <c r="C292" s="9" t="s">
        <v>87</v>
      </c>
      <c r="D292" s="3" t="s">
        <v>36</v>
      </c>
      <c r="E292" s="26">
        <f>4.56-1.136</f>
        <v>3.4239999999999995</v>
      </c>
    </row>
    <row r="293" spans="1:5" ht="28.5" hidden="1" x14ac:dyDescent="0.25">
      <c r="A293" s="29" t="s">
        <v>500</v>
      </c>
      <c r="B293" s="1" t="s">
        <v>16</v>
      </c>
      <c r="C293" s="9" t="s">
        <v>87</v>
      </c>
      <c r="D293" s="3" t="s">
        <v>36</v>
      </c>
      <c r="E293" s="26">
        <f>3.36</f>
        <v>3.36</v>
      </c>
    </row>
    <row r="294" spans="1:5" ht="28.5" hidden="1" x14ac:dyDescent="0.25">
      <c r="A294" s="29" t="s">
        <v>500</v>
      </c>
      <c r="B294" s="1" t="s">
        <v>16</v>
      </c>
      <c r="C294" s="9" t="s">
        <v>87</v>
      </c>
      <c r="D294" s="3" t="s">
        <v>441</v>
      </c>
      <c r="E294" s="26">
        <f>1.423-0.291-0.404-0.006-0.122-0.24-0.002</f>
        <v>0.3580000000000001</v>
      </c>
    </row>
    <row r="295" spans="1:5" ht="28.5" hidden="1" x14ac:dyDescent="0.25">
      <c r="A295" s="29" t="s">
        <v>500</v>
      </c>
      <c r="B295" s="1" t="s">
        <v>16</v>
      </c>
      <c r="C295" s="9" t="s">
        <v>87</v>
      </c>
      <c r="D295" s="3" t="s">
        <v>46</v>
      </c>
      <c r="E295" s="26">
        <f>2.85-1.418</f>
        <v>1.4320000000000002</v>
      </c>
    </row>
    <row r="296" spans="1:5" ht="28.5" hidden="1" x14ac:dyDescent="0.25">
      <c r="A296" s="29" t="s">
        <v>500</v>
      </c>
      <c r="B296" s="1" t="s">
        <v>16</v>
      </c>
      <c r="C296" s="9" t="s">
        <v>87</v>
      </c>
      <c r="D296" s="3" t="s">
        <v>364</v>
      </c>
      <c r="E296" s="26">
        <f>1.418-0.709</f>
        <v>0.70899999999999996</v>
      </c>
    </row>
    <row r="297" spans="1:5" ht="28.5" hidden="1" x14ac:dyDescent="0.25">
      <c r="A297" s="29" t="s">
        <v>500</v>
      </c>
      <c r="B297" s="1" t="s">
        <v>16</v>
      </c>
      <c r="C297" s="9" t="s">
        <v>87</v>
      </c>
      <c r="D297" s="3" t="s">
        <v>46</v>
      </c>
      <c r="E297" s="26">
        <f>4.27</f>
        <v>4.2699999999999996</v>
      </c>
    </row>
    <row r="298" spans="1:5" ht="28.5" hidden="1" x14ac:dyDescent="0.25">
      <c r="A298" s="29" t="s">
        <v>500</v>
      </c>
      <c r="B298" s="1" t="s">
        <v>16</v>
      </c>
      <c r="C298" s="9" t="s">
        <v>87</v>
      </c>
      <c r="D298" s="9" t="s">
        <v>285</v>
      </c>
      <c r="E298" s="26">
        <f>10.13-1.716-1.705-1.73-1.73-1.674-0.096+0.103-0.152-0.078-0.076-0.002-0.182-0.002-0.182</f>
        <v>0.90800000000000103</v>
      </c>
    </row>
    <row r="299" spans="1:5" ht="28.5" hidden="1" x14ac:dyDescent="0.25">
      <c r="A299" s="29" t="s">
        <v>500</v>
      </c>
      <c r="B299" s="1" t="s">
        <v>16</v>
      </c>
      <c r="C299" s="9" t="s">
        <v>87</v>
      </c>
      <c r="D299" s="9" t="s">
        <v>100</v>
      </c>
      <c r="E299" s="26">
        <f>3.49-1.73</f>
        <v>1.7600000000000002</v>
      </c>
    </row>
    <row r="300" spans="1:5" ht="28.5" hidden="1" x14ac:dyDescent="0.25">
      <c r="A300" s="29" t="s">
        <v>500</v>
      </c>
      <c r="B300" s="1" t="s">
        <v>16</v>
      </c>
      <c r="C300" s="9" t="s">
        <v>87</v>
      </c>
      <c r="D300" s="9" t="s">
        <v>100</v>
      </c>
      <c r="E300" s="26">
        <f>3.38</f>
        <v>3.38</v>
      </c>
    </row>
    <row r="301" spans="1:5" ht="28.5" hidden="1" x14ac:dyDescent="0.25">
      <c r="A301" s="29" t="s">
        <v>500</v>
      </c>
      <c r="B301" s="1" t="s">
        <v>16</v>
      </c>
      <c r="C301" s="9" t="s">
        <v>87</v>
      </c>
      <c r="D301" s="3" t="s">
        <v>222</v>
      </c>
      <c r="E301" s="26">
        <f>1.686-0.182-0.66-0.108+0.09-0.728</f>
        <v>9.7999999999999976E-2</v>
      </c>
    </row>
    <row r="302" spans="1:5" ht="28.5" hidden="1" x14ac:dyDescent="0.25">
      <c r="A302" s="29" t="s">
        <v>500</v>
      </c>
      <c r="B302" s="1" t="s">
        <v>16</v>
      </c>
      <c r="C302" s="9" t="s">
        <v>87</v>
      </c>
      <c r="D302" s="3" t="s">
        <v>208</v>
      </c>
      <c r="E302" s="26">
        <f>1.674-0.362-0.372-0.156-0.178-0.004-0.38-0.002</f>
        <v>0.21999999999999986</v>
      </c>
    </row>
    <row r="303" spans="1:5" ht="28.5" hidden="1" x14ac:dyDescent="0.25">
      <c r="A303" s="29" t="s">
        <v>500</v>
      </c>
      <c r="B303" s="1" t="s">
        <v>16</v>
      </c>
      <c r="C303" s="3" t="s">
        <v>241</v>
      </c>
      <c r="D303" s="3" t="s">
        <v>486</v>
      </c>
      <c r="E303" s="26">
        <f>1.053-0.308-0.001-0.526-0.132</f>
        <v>8.5999999999999854E-2</v>
      </c>
    </row>
    <row r="304" spans="1:5" ht="28.5" hidden="1" x14ac:dyDescent="0.25">
      <c r="A304" s="29" t="s">
        <v>500</v>
      </c>
      <c r="B304" s="9" t="s">
        <v>16</v>
      </c>
      <c r="C304" s="9" t="s">
        <v>87</v>
      </c>
      <c r="D304" s="9" t="s">
        <v>386</v>
      </c>
      <c r="E304" s="28">
        <f>1.67</f>
        <v>1.67</v>
      </c>
    </row>
    <row r="305" spans="1:5" ht="28.5" hidden="1" x14ac:dyDescent="0.25">
      <c r="A305" s="29" t="s">
        <v>500</v>
      </c>
      <c r="B305" s="1" t="s">
        <v>16</v>
      </c>
      <c r="C305" s="9" t="s">
        <v>435</v>
      </c>
      <c r="D305" s="9" t="s">
        <v>434</v>
      </c>
      <c r="E305" s="28">
        <v>0.746</v>
      </c>
    </row>
    <row r="306" spans="1:5" ht="28.5" hidden="1" x14ac:dyDescent="0.25">
      <c r="A306" s="29" t="s">
        <v>500</v>
      </c>
      <c r="B306" s="1" t="s">
        <v>16</v>
      </c>
      <c r="C306" s="9" t="s">
        <v>87</v>
      </c>
      <c r="D306" s="9" t="s">
        <v>116</v>
      </c>
      <c r="E306" s="26">
        <f>11.15-1.844-1.865-3.735-1.86</f>
        <v>1.8460000000000008</v>
      </c>
    </row>
    <row r="307" spans="1:5" ht="28.5" hidden="1" x14ac:dyDescent="0.25">
      <c r="A307" s="29" t="s">
        <v>500</v>
      </c>
      <c r="B307" s="1" t="s">
        <v>16</v>
      </c>
      <c r="C307" s="9" t="s">
        <v>87</v>
      </c>
      <c r="D307" s="9" t="s">
        <v>411</v>
      </c>
      <c r="E307" s="26">
        <f>1.728-0.384-0.334-0.008-0.4</f>
        <v>0.60199999999999976</v>
      </c>
    </row>
    <row r="308" spans="1:5" ht="28.5" hidden="1" x14ac:dyDescent="0.25">
      <c r="A308" s="29" t="s">
        <v>500</v>
      </c>
      <c r="B308" s="1" t="s">
        <v>16</v>
      </c>
      <c r="C308" s="9" t="s">
        <v>87</v>
      </c>
      <c r="D308" s="9" t="s">
        <v>109</v>
      </c>
      <c r="E308" s="26">
        <f>11.08-1.816-1.8</f>
        <v>7.4639999999999995</v>
      </c>
    </row>
    <row r="309" spans="1:5" ht="28.5" hidden="1" x14ac:dyDescent="0.25">
      <c r="A309" s="29" t="s">
        <v>500</v>
      </c>
      <c r="B309" s="1" t="s">
        <v>16</v>
      </c>
      <c r="C309" s="9" t="s">
        <v>87</v>
      </c>
      <c r="D309" s="9" t="s">
        <v>487</v>
      </c>
      <c r="E309" s="26">
        <f>1.8-1.094</f>
        <v>0.70599999999999996</v>
      </c>
    </row>
    <row r="310" spans="1:5" ht="28.5" hidden="1" x14ac:dyDescent="0.25">
      <c r="A310" s="29" t="s">
        <v>500</v>
      </c>
      <c r="B310" s="1" t="s">
        <v>16</v>
      </c>
      <c r="C310" s="9" t="s">
        <v>87</v>
      </c>
      <c r="D310" s="9" t="s">
        <v>322</v>
      </c>
      <c r="E310" s="26">
        <f>1.816-1.304-0.288</f>
        <v>0.22400000000000003</v>
      </c>
    </row>
    <row r="311" spans="1:5" ht="28.5" hidden="1" x14ac:dyDescent="0.25">
      <c r="A311" s="29" t="s">
        <v>500</v>
      </c>
      <c r="B311" s="1" t="s">
        <v>16</v>
      </c>
      <c r="C311" s="9" t="s">
        <v>87</v>
      </c>
      <c r="D311" s="9" t="s">
        <v>407</v>
      </c>
      <c r="E311" s="26">
        <f>3.64-1.844-0.566-0.002-0.146-0.002-0.302+0.002</f>
        <v>0.78</v>
      </c>
    </row>
    <row r="312" spans="1:5" ht="28.5" hidden="1" x14ac:dyDescent="0.25">
      <c r="A312" s="29" t="s">
        <v>500</v>
      </c>
      <c r="B312" s="1" t="s">
        <v>16</v>
      </c>
      <c r="C312" s="9" t="s">
        <v>87</v>
      </c>
      <c r="D312" s="9" t="s">
        <v>488</v>
      </c>
      <c r="E312" s="26">
        <f>5.54-3.69-1.08</f>
        <v>0.77</v>
      </c>
    </row>
    <row r="313" spans="1:5" ht="28.5" hidden="1" x14ac:dyDescent="0.25">
      <c r="A313" s="29" t="s">
        <v>500</v>
      </c>
      <c r="B313" s="1" t="s">
        <v>16</v>
      </c>
      <c r="C313" s="9" t="s">
        <v>87</v>
      </c>
      <c r="D313" s="9" t="s">
        <v>137</v>
      </c>
      <c r="E313" s="26">
        <f>5.54</f>
        <v>5.54</v>
      </c>
    </row>
    <row r="314" spans="1:5" ht="28.5" hidden="1" x14ac:dyDescent="0.25">
      <c r="A314" s="29" t="s">
        <v>500</v>
      </c>
      <c r="B314" s="1" t="s">
        <v>16</v>
      </c>
      <c r="C314" s="3" t="s">
        <v>239</v>
      </c>
      <c r="D314" s="9" t="s">
        <v>237</v>
      </c>
      <c r="E314" s="26">
        <f>0.525-0.102-0.093-0.108</f>
        <v>0.22200000000000009</v>
      </c>
    </row>
    <row r="315" spans="1:5" ht="28.5" hidden="1" x14ac:dyDescent="0.25">
      <c r="A315" s="29" t="s">
        <v>500</v>
      </c>
      <c r="B315" s="1" t="s">
        <v>16</v>
      </c>
      <c r="C315" s="9" t="s">
        <v>87</v>
      </c>
      <c r="D315" s="9" t="s">
        <v>256</v>
      </c>
      <c r="E315" s="26">
        <f>5.52-1.82</f>
        <v>3.6999999999999993</v>
      </c>
    </row>
    <row r="316" spans="1:5" ht="28.5" hidden="1" x14ac:dyDescent="0.25">
      <c r="A316" s="29" t="s">
        <v>500</v>
      </c>
      <c r="B316" s="1" t="s">
        <v>16</v>
      </c>
      <c r="C316" s="9" t="s">
        <v>87</v>
      </c>
      <c r="D316" s="9" t="s">
        <v>369</v>
      </c>
      <c r="E316" s="26">
        <f>1.82-0.8</f>
        <v>1.02</v>
      </c>
    </row>
    <row r="317" spans="1:5" ht="28.5" hidden="1" x14ac:dyDescent="0.25">
      <c r="A317" s="29" t="s">
        <v>500</v>
      </c>
      <c r="B317" s="1" t="s">
        <v>16</v>
      </c>
      <c r="C317" s="9" t="s">
        <v>87</v>
      </c>
      <c r="D317" s="9" t="s">
        <v>256</v>
      </c>
      <c r="E317" s="26">
        <f>5.53</f>
        <v>5.53</v>
      </c>
    </row>
    <row r="318" spans="1:5" ht="28.5" hidden="1" x14ac:dyDescent="0.25">
      <c r="A318" s="29" t="s">
        <v>500</v>
      </c>
      <c r="B318" s="1" t="s">
        <v>16</v>
      </c>
      <c r="C318" s="9" t="s">
        <v>87</v>
      </c>
      <c r="D318" s="9" t="s">
        <v>128</v>
      </c>
      <c r="E318" s="26">
        <f>5.49-1.852-1.818</f>
        <v>1.8199999999999998</v>
      </c>
    </row>
    <row r="319" spans="1:5" ht="28.5" hidden="1" x14ac:dyDescent="0.25">
      <c r="A319" s="29" t="s">
        <v>500</v>
      </c>
      <c r="B319" s="1" t="s">
        <v>16</v>
      </c>
      <c r="C319" s="9" t="s">
        <v>87</v>
      </c>
      <c r="D319" s="9" t="s">
        <v>489</v>
      </c>
      <c r="E319" s="26">
        <f>1.818-0.184</f>
        <v>1.6340000000000001</v>
      </c>
    </row>
    <row r="320" spans="1:5" ht="28.5" hidden="1" x14ac:dyDescent="0.25">
      <c r="A320" s="29" t="s">
        <v>500</v>
      </c>
      <c r="B320" s="1" t="s">
        <v>21</v>
      </c>
      <c r="C320" s="9" t="s">
        <v>87</v>
      </c>
      <c r="D320" s="9" t="s">
        <v>64</v>
      </c>
      <c r="E320" s="28">
        <f>4.13</f>
        <v>4.13</v>
      </c>
    </row>
    <row r="321" spans="1:5" ht="28.5" hidden="1" x14ac:dyDescent="0.25">
      <c r="A321" s="29" t="s">
        <v>500</v>
      </c>
      <c r="B321" s="1" t="s">
        <v>21</v>
      </c>
      <c r="C321" s="9" t="s">
        <v>87</v>
      </c>
      <c r="D321" s="9" t="s">
        <v>28</v>
      </c>
      <c r="E321" s="28">
        <f>4.44-0.54-1.115</f>
        <v>2.7850000000000001</v>
      </c>
    </row>
    <row r="322" spans="1:5" ht="28.5" hidden="1" x14ac:dyDescent="0.25">
      <c r="A322" s="29" t="s">
        <v>500</v>
      </c>
      <c r="B322" s="1" t="s">
        <v>21</v>
      </c>
      <c r="C322" s="9" t="s">
        <v>87</v>
      </c>
      <c r="D322" s="9" t="s">
        <v>452</v>
      </c>
      <c r="E322" s="28">
        <f>0.404-0.092-0.136</f>
        <v>0.17600000000000005</v>
      </c>
    </row>
    <row r="323" spans="1:5" ht="28.5" hidden="1" x14ac:dyDescent="0.25">
      <c r="A323" s="29" t="s">
        <v>500</v>
      </c>
      <c r="B323" s="1" t="s">
        <v>21</v>
      </c>
      <c r="C323" s="9" t="s">
        <v>87</v>
      </c>
      <c r="D323" s="3" t="s">
        <v>477</v>
      </c>
      <c r="E323" s="28">
        <f>4.23-0.712-0.7-0.706-0.706-0.704-0.473</f>
        <v>0.22900000000000065</v>
      </c>
    </row>
    <row r="324" spans="1:5" ht="28.5" hidden="1" x14ac:dyDescent="0.25">
      <c r="A324" s="29" t="s">
        <v>500</v>
      </c>
      <c r="B324" s="1" t="s">
        <v>21</v>
      </c>
      <c r="C324" s="9" t="s">
        <v>87</v>
      </c>
      <c r="D324" s="3" t="s">
        <v>426</v>
      </c>
      <c r="E324" s="28">
        <f>0.704-0.106-0.03-0.002-0.176-0.142</f>
        <v>0.24799999999999997</v>
      </c>
    </row>
    <row r="325" spans="1:5" ht="28.5" hidden="1" x14ac:dyDescent="0.25">
      <c r="A325" s="29" t="s">
        <v>500</v>
      </c>
      <c r="B325" s="1" t="s">
        <v>21</v>
      </c>
      <c r="C325" s="9" t="s">
        <v>87</v>
      </c>
      <c r="D325" s="3" t="s">
        <v>12</v>
      </c>
      <c r="E325" s="28">
        <f>4.29</f>
        <v>4.29</v>
      </c>
    </row>
    <row r="326" spans="1:5" ht="28.5" hidden="1" x14ac:dyDescent="0.25">
      <c r="A326" s="29" t="s">
        <v>500</v>
      </c>
      <c r="B326" s="1" t="s">
        <v>21</v>
      </c>
      <c r="C326" s="9" t="s">
        <v>87</v>
      </c>
      <c r="D326" s="3" t="s">
        <v>61</v>
      </c>
      <c r="E326" s="28">
        <f>4.26</f>
        <v>4.26</v>
      </c>
    </row>
    <row r="327" spans="1:5" ht="28.5" hidden="1" x14ac:dyDescent="0.25">
      <c r="A327" s="29" t="s">
        <v>500</v>
      </c>
      <c r="B327" s="1" t="s">
        <v>21</v>
      </c>
      <c r="C327" s="9" t="s">
        <v>87</v>
      </c>
      <c r="D327" s="3" t="s">
        <v>36</v>
      </c>
      <c r="E327" s="28">
        <f>4.52</f>
        <v>4.5199999999999996</v>
      </c>
    </row>
    <row r="328" spans="1:5" ht="28.5" hidden="1" x14ac:dyDescent="0.25">
      <c r="A328" s="29" t="s">
        <v>500</v>
      </c>
      <c r="B328" s="1" t="s">
        <v>21</v>
      </c>
      <c r="C328" s="9" t="s">
        <v>87</v>
      </c>
      <c r="D328" s="3" t="s">
        <v>46</v>
      </c>
      <c r="E328" s="26">
        <f>8.49-1.424-1.422-1.408-1.426</f>
        <v>2.8100000000000005</v>
      </c>
    </row>
    <row r="329" spans="1:5" ht="28.5" hidden="1" x14ac:dyDescent="0.25">
      <c r="A329" s="29" t="s">
        <v>500</v>
      </c>
      <c r="B329" s="1" t="s">
        <v>21</v>
      </c>
      <c r="C329" s="9" t="s">
        <v>87</v>
      </c>
      <c r="D329" s="3" t="s">
        <v>254</v>
      </c>
      <c r="E329" s="26">
        <f>1.404-0.178</f>
        <v>1.226</v>
      </c>
    </row>
    <row r="330" spans="1:5" ht="28.5" hidden="1" x14ac:dyDescent="0.25">
      <c r="A330" s="29" t="s">
        <v>500</v>
      </c>
      <c r="B330" s="1" t="s">
        <v>21</v>
      </c>
      <c r="C330" s="9" t="s">
        <v>87</v>
      </c>
      <c r="D330" s="3" t="s">
        <v>46</v>
      </c>
      <c r="E330" s="26">
        <f>4.27</f>
        <v>4.2699999999999996</v>
      </c>
    </row>
    <row r="331" spans="1:5" ht="28.5" hidden="1" x14ac:dyDescent="0.25">
      <c r="A331" s="29" t="s">
        <v>500</v>
      </c>
      <c r="B331" s="1" t="s">
        <v>21</v>
      </c>
      <c r="C331" s="9" t="s">
        <v>87</v>
      </c>
      <c r="D331" s="9" t="s">
        <v>443</v>
      </c>
      <c r="E331" s="26">
        <f>5.25-1.75-1.75-0.452-0.008</f>
        <v>1.29</v>
      </c>
    </row>
    <row r="332" spans="1:5" ht="28.5" hidden="1" x14ac:dyDescent="0.25">
      <c r="A332" s="29" t="s">
        <v>500</v>
      </c>
      <c r="B332" s="1" t="s">
        <v>21</v>
      </c>
      <c r="C332" s="9" t="s">
        <v>87</v>
      </c>
      <c r="D332" s="9" t="s">
        <v>100</v>
      </c>
      <c r="E332" s="26">
        <f>5.1</f>
        <v>5.0999999999999996</v>
      </c>
    </row>
    <row r="333" spans="1:5" ht="28.5" hidden="1" x14ac:dyDescent="0.25">
      <c r="A333" s="29" t="s">
        <v>500</v>
      </c>
      <c r="B333" s="1" t="s">
        <v>21</v>
      </c>
      <c r="C333" s="9" t="s">
        <v>87</v>
      </c>
      <c r="D333" s="3" t="s">
        <v>114</v>
      </c>
      <c r="E333" s="26">
        <f>9.99-3.35-1.62-1.646</f>
        <v>3.3740000000000006</v>
      </c>
    </row>
    <row r="334" spans="1:5" ht="28.5" hidden="1" x14ac:dyDescent="0.25">
      <c r="A334" s="29" t="s">
        <v>500</v>
      </c>
      <c r="B334" s="1" t="s">
        <v>21</v>
      </c>
      <c r="C334" s="9" t="s">
        <v>87</v>
      </c>
      <c r="D334" s="3" t="s">
        <v>469</v>
      </c>
      <c r="E334" s="26">
        <f>1.646-1.096</f>
        <v>0.54999999999999982</v>
      </c>
    </row>
    <row r="335" spans="1:5" ht="28.5" hidden="1" x14ac:dyDescent="0.25">
      <c r="A335" s="29" t="s">
        <v>500</v>
      </c>
      <c r="B335" s="1" t="s">
        <v>21</v>
      </c>
      <c r="C335" s="9" t="s">
        <v>87</v>
      </c>
      <c r="D335" s="3" t="s">
        <v>114</v>
      </c>
      <c r="E335" s="26">
        <f>4.78</f>
        <v>4.78</v>
      </c>
    </row>
    <row r="336" spans="1:5" ht="28.5" hidden="1" x14ac:dyDescent="0.25">
      <c r="A336" s="29" t="s">
        <v>500</v>
      </c>
      <c r="B336" s="1" t="s">
        <v>21</v>
      </c>
      <c r="C336" s="9" t="s">
        <v>87</v>
      </c>
      <c r="D336" s="3" t="s">
        <v>107</v>
      </c>
      <c r="E336" s="28">
        <f>5.19-3.45</f>
        <v>1.7400000000000002</v>
      </c>
    </row>
    <row r="337" spans="1:5" ht="28.5" hidden="1" x14ac:dyDescent="0.25">
      <c r="A337" s="29" t="s">
        <v>500</v>
      </c>
      <c r="B337" s="1" t="s">
        <v>21</v>
      </c>
      <c r="C337" s="9" t="s">
        <v>87</v>
      </c>
      <c r="D337" s="3" t="s">
        <v>107</v>
      </c>
      <c r="E337" s="28">
        <f>5.21</f>
        <v>5.21</v>
      </c>
    </row>
    <row r="338" spans="1:5" ht="28.5" hidden="1" x14ac:dyDescent="0.25">
      <c r="A338" s="29" t="s">
        <v>500</v>
      </c>
      <c r="B338" s="1" t="s">
        <v>21</v>
      </c>
      <c r="C338" s="9" t="s">
        <v>87</v>
      </c>
      <c r="D338" s="9" t="s">
        <v>234</v>
      </c>
      <c r="E338" s="26">
        <f>1.82-0.48-0.978-0.01-0.242-0.002</f>
        <v>0.1080000000000001</v>
      </c>
    </row>
    <row r="339" spans="1:5" ht="28.5" hidden="1" x14ac:dyDescent="0.25">
      <c r="A339" s="29" t="s">
        <v>500</v>
      </c>
      <c r="B339" s="1" t="s">
        <v>21</v>
      </c>
      <c r="C339" s="9" t="s">
        <v>87</v>
      </c>
      <c r="D339" s="9" t="s">
        <v>116</v>
      </c>
      <c r="E339" s="26">
        <f>5.62</f>
        <v>5.62</v>
      </c>
    </row>
    <row r="340" spans="1:5" ht="28.5" hidden="1" x14ac:dyDescent="0.25">
      <c r="A340" s="29" t="s">
        <v>500</v>
      </c>
      <c r="B340" s="1" t="s">
        <v>21</v>
      </c>
      <c r="C340" s="9" t="s">
        <v>87</v>
      </c>
      <c r="D340" s="3" t="s">
        <v>381</v>
      </c>
      <c r="E340" s="26">
        <f>1.804-0.568-0.29-0.002-0.208-0.002</f>
        <v>0.73400000000000021</v>
      </c>
    </row>
    <row r="341" spans="1:5" ht="28.5" hidden="1" x14ac:dyDescent="0.25">
      <c r="A341" s="29" t="s">
        <v>500</v>
      </c>
      <c r="B341" s="1" t="s">
        <v>21</v>
      </c>
      <c r="C341" s="9" t="s">
        <v>87</v>
      </c>
      <c r="D341" s="3" t="s">
        <v>109</v>
      </c>
      <c r="E341" s="26">
        <f>5.65</f>
        <v>5.65</v>
      </c>
    </row>
    <row r="342" spans="1:5" ht="28.5" hidden="1" x14ac:dyDescent="0.25">
      <c r="A342" s="29" t="s">
        <v>500</v>
      </c>
      <c r="B342" s="1" t="s">
        <v>21</v>
      </c>
      <c r="C342" s="9" t="s">
        <v>87</v>
      </c>
      <c r="D342" s="9" t="s">
        <v>121</v>
      </c>
      <c r="E342" s="28">
        <f>5.66</f>
        <v>5.66</v>
      </c>
    </row>
    <row r="343" spans="1:5" ht="28.5" hidden="1" x14ac:dyDescent="0.25">
      <c r="A343" s="29" t="s">
        <v>500</v>
      </c>
      <c r="B343" s="1" t="s">
        <v>21</v>
      </c>
      <c r="C343" s="9" t="s">
        <v>87</v>
      </c>
      <c r="D343" s="3" t="s">
        <v>137</v>
      </c>
      <c r="E343" s="28">
        <f>5.69-1.9</f>
        <v>3.7900000000000005</v>
      </c>
    </row>
    <row r="344" spans="1:5" ht="28.5" hidden="1" x14ac:dyDescent="0.25">
      <c r="A344" s="29" t="s">
        <v>500</v>
      </c>
      <c r="B344" s="1" t="s">
        <v>21</v>
      </c>
      <c r="C344" s="9" t="s">
        <v>87</v>
      </c>
      <c r="D344" s="3" t="s">
        <v>382</v>
      </c>
      <c r="E344" s="28">
        <f>1.836-0.198</f>
        <v>1.6380000000000001</v>
      </c>
    </row>
    <row r="345" spans="1:5" ht="28.5" hidden="1" x14ac:dyDescent="0.25">
      <c r="A345" s="29" t="s">
        <v>500</v>
      </c>
      <c r="B345" s="1" t="s">
        <v>15</v>
      </c>
      <c r="C345" s="8" t="s">
        <v>248</v>
      </c>
      <c r="D345" s="15" t="s">
        <v>7</v>
      </c>
      <c r="E345" s="23">
        <f>3.946-2.014-0.032</f>
        <v>1.9000000000000004</v>
      </c>
    </row>
    <row r="346" spans="1:5" ht="28.5" hidden="1" x14ac:dyDescent="0.25">
      <c r="A346" s="29" t="s">
        <v>500</v>
      </c>
      <c r="B346" s="1" t="s">
        <v>15</v>
      </c>
      <c r="C346" s="8" t="s">
        <v>248</v>
      </c>
      <c r="D346" s="15" t="s">
        <v>8</v>
      </c>
      <c r="E346" s="23">
        <f>4.02-0.048-0.047-0.047-0.186-0.52-0.048-0.047-0.416-0.3-0.048</f>
        <v>2.3129999999999993</v>
      </c>
    </row>
    <row r="347" spans="1:5" ht="28.5" hidden="1" x14ac:dyDescent="0.25">
      <c r="A347" s="29" t="s">
        <v>500</v>
      </c>
      <c r="B347" s="1" t="s">
        <v>15</v>
      </c>
      <c r="C347" s="8" t="s">
        <v>248</v>
      </c>
      <c r="D347" s="15" t="s">
        <v>249</v>
      </c>
      <c r="E347" s="23">
        <v>0.13</v>
      </c>
    </row>
    <row r="348" spans="1:5" ht="28.5" hidden="1" x14ac:dyDescent="0.25">
      <c r="A348" s="29" t="s">
        <v>500</v>
      </c>
      <c r="B348" s="1" t="s">
        <v>15</v>
      </c>
      <c r="C348" s="8" t="s">
        <v>248</v>
      </c>
      <c r="D348" s="15" t="s">
        <v>9</v>
      </c>
      <c r="E348" s="23">
        <f>4.15-0.064-0.06-0.488-0.424-0.063-0.325</f>
        <v>2.7260000000000004</v>
      </c>
    </row>
    <row r="349" spans="1:5" ht="28.5" hidden="1" x14ac:dyDescent="0.25">
      <c r="A349" s="29" t="s">
        <v>500</v>
      </c>
      <c r="B349" s="1" t="s">
        <v>15</v>
      </c>
      <c r="C349" s="8" t="s">
        <v>248</v>
      </c>
      <c r="D349" s="15" t="s">
        <v>250</v>
      </c>
      <c r="E349" s="23">
        <f>0.23-0.058</f>
        <v>0.17200000000000001</v>
      </c>
    </row>
    <row r="350" spans="1:5" ht="28.5" hidden="1" x14ac:dyDescent="0.25">
      <c r="A350" s="29" t="s">
        <v>500</v>
      </c>
      <c r="B350" s="1" t="s">
        <v>15</v>
      </c>
      <c r="C350" s="8" t="s">
        <v>23</v>
      </c>
      <c r="D350" s="21" t="s">
        <v>78</v>
      </c>
      <c r="E350" s="25">
        <f>3.67-0.336-0.692-0.35</f>
        <v>2.2920000000000003</v>
      </c>
    </row>
    <row r="351" spans="1:5" ht="28.5" hidden="1" x14ac:dyDescent="0.25">
      <c r="A351" s="29" t="s">
        <v>500</v>
      </c>
      <c r="B351" s="1" t="s">
        <v>15</v>
      </c>
      <c r="C351" s="8" t="s">
        <v>23</v>
      </c>
      <c r="D351" s="21" t="s">
        <v>466</v>
      </c>
      <c r="E351" s="25">
        <f>0.35-0.118-0.058-0.002</f>
        <v>0.17199999999999999</v>
      </c>
    </row>
    <row r="352" spans="1:5" ht="28.5" hidden="1" x14ac:dyDescent="0.25">
      <c r="A352" s="29" t="s">
        <v>500</v>
      </c>
      <c r="B352" s="1" t="s">
        <v>15</v>
      </c>
      <c r="C352" s="8" t="s">
        <v>23</v>
      </c>
      <c r="D352" s="21" t="s">
        <v>339</v>
      </c>
      <c r="E352" s="25">
        <f>0.336-0.014-0.168-0.038+0.002-0.04-0.03</f>
        <v>4.7999999999999987E-2</v>
      </c>
    </row>
    <row r="353" spans="1:5" ht="28.5" hidden="1" x14ac:dyDescent="0.25">
      <c r="A353" s="29" t="s">
        <v>500</v>
      </c>
      <c r="B353" s="1" t="s">
        <v>15</v>
      </c>
      <c r="C353" s="8" t="s">
        <v>23</v>
      </c>
      <c r="D353" s="7" t="s">
        <v>64</v>
      </c>
      <c r="E353" s="25">
        <f>4.25-0.43-0.43-0.426-0.86-0.424-0.426-0.425</f>
        <v>0.82899999999999974</v>
      </c>
    </row>
    <row r="354" spans="1:5" ht="28.5" hidden="1" x14ac:dyDescent="0.25">
      <c r="A354" s="29" t="s">
        <v>500</v>
      </c>
      <c r="B354" s="1" t="s">
        <v>15</v>
      </c>
      <c r="C354" s="8" t="s">
        <v>23</v>
      </c>
      <c r="D354" s="7" t="s">
        <v>467</v>
      </c>
      <c r="E354" s="25">
        <f>0.425-0.215</f>
        <v>0.21</v>
      </c>
    </row>
    <row r="355" spans="1:5" ht="28.5" hidden="1" x14ac:dyDescent="0.25">
      <c r="A355" s="29" t="s">
        <v>500</v>
      </c>
      <c r="B355" s="1" t="s">
        <v>15</v>
      </c>
      <c r="C355" s="8" t="s">
        <v>23</v>
      </c>
      <c r="D355" s="7" t="s">
        <v>417</v>
      </c>
      <c r="E355" s="25">
        <f>0.426-0.214-0.142-0.036</f>
        <v>3.4000000000000009E-2</v>
      </c>
    </row>
    <row r="356" spans="1:5" ht="28.5" hidden="1" x14ac:dyDescent="0.25">
      <c r="A356" s="29" t="s">
        <v>500</v>
      </c>
      <c r="B356" s="1" t="s">
        <v>15</v>
      </c>
      <c r="C356" s="8" t="s">
        <v>23</v>
      </c>
      <c r="D356" s="7" t="s">
        <v>333</v>
      </c>
      <c r="E356" s="25">
        <f>0.43-0.214-0.072-0.05-0.02-0.004</f>
        <v>7.0000000000000007E-2</v>
      </c>
    </row>
    <row r="357" spans="1:5" ht="28.5" hidden="1" x14ac:dyDescent="0.25">
      <c r="A357" s="29" t="s">
        <v>500</v>
      </c>
      <c r="B357" s="3" t="s">
        <v>15</v>
      </c>
      <c r="C357" s="9" t="s">
        <v>86</v>
      </c>
      <c r="D357" s="3" t="s">
        <v>363</v>
      </c>
      <c r="E357" s="25">
        <f>4.41-2.21-1.092-0.556-0.157+0.003-0.15-0.188-0.036</f>
        <v>2.4000000000000028E-2</v>
      </c>
    </row>
    <row r="358" spans="1:5" ht="28.5" hidden="1" x14ac:dyDescent="0.25">
      <c r="A358" s="29" t="s">
        <v>500</v>
      </c>
      <c r="B358" s="3" t="s">
        <v>15</v>
      </c>
      <c r="C358" s="9" t="s">
        <v>86</v>
      </c>
      <c r="D358" s="3" t="s">
        <v>28</v>
      </c>
      <c r="E358" s="25">
        <f>4.42-0.556-0.532-0.556-0.558</f>
        <v>2.218</v>
      </c>
    </row>
    <row r="359" spans="1:5" ht="28.5" hidden="1" x14ac:dyDescent="0.25">
      <c r="A359" s="29" t="s">
        <v>500</v>
      </c>
      <c r="B359" s="3" t="s">
        <v>15</v>
      </c>
      <c r="C359" s="9" t="s">
        <v>86</v>
      </c>
      <c r="D359" s="3" t="s">
        <v>28</v>
      </c>
      <c r="E359" s="25">
        <f>4.49-1.13-0.57</f>
        <v>2.7900000000000005</v>
      </c>
    </row>
    <row r="360" spans="1:5" ht="28.5" hidden="1" x14ac:dyDescent="0.25">
      <c r="A360" s="29" t="s">
        <v>500</v>
      </c>
      <c r="B360" s="3" t="s">
        <v>15</v>
      </c>
      <c r="C360" s="9" t="s">
        <v>86</v>
      </c>
      <c r="D360" s="3" t="s">
        <v>478</v>
      </c>
      <c r="E360" s="25">
        <f>0.57-0.244-0.006-0.29</f>
        <v>2.9999999999999971E-2</v>
      </c>
    </row>
    <row r="361" spans="1:5" ht="28.5" hidden="1" x14ac:dyDescent="0.25">
      <c r="A361" s="29" t="s">
        <v>500</v>
      </c>
      <c r="B361" s="3" t="s">
        <v>15</v>
      </c>
      <c r="C361" s="9" t="s">
        <v>86</v>
      </c>
      <c r="D361" s="3" t="s">
        <v>397</v>
      </c>
      <c r="E361" s="25">
        <f>0.692-0.418-0.178+0.008</f>
        <v>0.10399999999999998</v>
      </c>
    </row>
    <row r="362" spans="1:5" ht="28.5" hidden="1" x14ac:dyDescent="0.25">
      <c r="A362" s="29" t="s">
        <v>500</v>
      </c>
      <c r="B362" s="3" t="s">
        <v>15</v>
      </c>
      <c r="C362" s="9" t="s">
        <v>86</v>
      </c>
      <c r="D362" s="3" t="s">
        <v>12</v>
      </c>
      <c r="E362" s="25">
        <f>4.17-1.42-0.696-0.7</f>
        <v>1.3540000000000003</v>
      </c>
    </row>
    <row r="363" spans="1:5" ht="28.5" hidden="1" x14ac:dyDescent="0.25">
      <c r="A363" s="29" t="s">
        <v>500</v>
      </c>
      <c r="B363" s="3" t="s">
        <v>15</v>
      </c>
      <c r="C363" s="9" t="s">
        <v>86</v>
      </c>
      <c r="D363" s="3" t="s">
        <v>479</v>
      </c>
      <c r="E363" s="25">
        <f>0.7-0.249</f>
        <v>0.45099999999999996</v>
      </c>
    </row>
    <row r="364" spans="1:5" ht="28.5" hidden="1" x14ac:dyDescent="0.25">
      <c r="A364" s="29" t="s">
        <v>500</v>
      </c>
      <c r="B364" s="3" t="s">
        <v>15</v>
      </c>
      <c r="C364" s="9" t="s">
        <v>86</v>
      </c>
      <c r="D364" s="3" t="s">
        <v>388</v>
      </c>
      <c r="E364" s="25">
        <f>0.85-0.072-0.186-0.126-0.014-0.32-0.002-0.09-0.002</f>
        <v>3.8000000000000062E-2</v>
      </c>
    </row>
    <row r="365" spans="1:5" ht="28.5" hidden="1" x14ac:dyDescent="0.25">
      <c r="A365" s="29" t="s">
        <v>500</v>
      </c>
      <c r="B365" s="3" t="s">
        <v>15</v>
      </c>
      <c r="C365" s="9" t="s">
        <v>86</v>
      </c>
      <c r="D365" s="3" t="s">
        <v>278</v>
      </c>
      <c r="E365" s="25">
        <f>0.84-0.166-0.062-0.212-0.006-0.34</f>
        <v>5.3999999999999881E-2</v>
      </c>
    </row>
    <row r="366" spans="1:5" ht="28.5" hidden="1" x14ac:dyDescent="0.25">
      <c r="A366" s="29" t="s">
        <v>500</v>
      </c>
      <c r="B366" s="3" t="s">
        <v>15</v>
      </c>
      <c r="C366" s="9" t="s">
        <v>86</v>
      </c>
      <c r="D366" s="3" t="s">
        <v>61</v>
      </c>
      <c r="E366" s="25">
        <f>8.32-0.827-1.7</f>
        <v>5.7930000000000001</v>
      </c>
    </row>
    <row r="367" spans="1:5" ht="28.5" hidden="1" x14ac:dyDescent="0.25">
      <c r="A367" s="29" t="s">
        <v>500</v>
      </c>
      <c r="B367" s="3" t="s">
        <v>15</v>
      </c>
      <c r="C367" s="9" t="s">
        <v>86</v>
      </c>
      <c r="D367" s="3" t="s">
        <v>458</v>
      </c>
      <c r="E367" s="27">
        <f>0.827-0.14-0.139</f>
        <v>0.54799999999999993</v>
      </c>
    </row>
    <row r="368" spans="1:5" ht="28.5" hidden="1" x14ac:dyDescent="0.25">
      <c r="A368" s="29" t="s">
        <v>500</v>
      </c>
      <c r="B368" s="3" t="s">
        <v>15</v>
      </c>
      <c r="C368" s="9" t="s">
        <v>86</v>
      </c>
      <c r="D368" s="3" t="s">
        <v>389</v>
      </c>
      <c r="E368" s="25">
        <f>0.827-0.182-0.126-0.344-0.005-0.112-0.002</f>
        <v>5.6000000000000036E-2</v>
      </c>
    </row>
    <row r="369" spans="1:5" ht="28.5" hidden="1" x14ac:dyDescent="0.25">
      <c r="A369" s="29" t="s">
        <v>500</v>
      </c>
      <c r="B369" s="3" t="s">
        <v>15</v>
      </c>
      <c r="C369" s="9" t="s">
        <v>86</v>
      </c>
      <c r="D369" s="3" t="s">
        <v>90</v>
      </c>
      <c r="E369" s="25">
        <f>5.77-1.93-0.962-0.962</f>
        <v>1.9160000000000001</v>
      </c>
    </row>
    <row r="370" spans="1:5" ht="28.5" hidden="1" x14ac:dyDescent="0.25">
      <c r="A370" s="29" t="s">
        <v>500</v>
      </c>
      <c r="B370" s="3" t="s">
        <v>15</v>
      </c>
      <c r="C370" s="9" t="s">
        <v>86</v>
      </c>
      <c r="D370" s="3" t="s">
        <v>459</v>
      </c>
      <c r="E370" s="25">
        <f>0.962-0.162</f>
        <v>0.79999999999999993</v>
      </c>
    </row>
    <row r="371" spans="1:5" ht="28.5" hidden="1" x14ac:dyDescent="0.25">
      <c r="A371" s="29" t="s">
        <v>500</v>
      </c>
      <c r="B371" s="3" t="s">
        <v>15</v>
      </c>
      <c r="C371" s="9" t="s">
        <v>86</v>
      </c>
      <c r="D371" s="3" t="s">
        <v>390</v>
      </c>
      <c r="E371" s="25">
        <f>0.962-0.082-0.08-0.215-0.003-0.214-0.042-0.002-0.21-0.008</f>
        <v>0.10600000000000012</v>
      </c>
    </row>
    <row r="372" spans="1:5" ht="28.5" hidden="1" x14ac:dyDescent="0.25">
      <c r="A372" s="29" t="s">
        <v>500</v>
      </c>
      <c r="B372" s="3" t="s">
        <v>15</v>
      </c>
      <c r="C372" s="9" t="s">
        <v>86</v>
      </c>
      <c r="D372" s="3" t="s">
        <v>90</v>
      </c>
      <c r="E372" s="25">
        <f>3.88</f>
        <v>3.88</v>
      </c>
    </row>
    <row r="373" spans="1:5" ht="28.5" hidden="1" x14ac:dyDescent="0.25">
      <c r="A373" s="29" t="s">
        <v>500</v>
      </c>
      <c r="B373" s="3" t="s">
        <v>15</v>
      </c>
      <c r="C373" s="9" t="s">
        <v>86</v>
      </c>
      <c r="D373" s="3" t="s">
        <v>398</v>
      </c>
      <c r="E373" s="25">
        <f>4.46-2.23-1.114-0.359-0.048+0.003-0.19-0.058-0.004-0.26-0.114</f>
        <v>8.5999999999999785E-2</v>
      </c>
    </row>
    <row r="374" spans="1:5" ht="28.5" hidden="1" x14ac:dyDescent="0.25">
      <c r="A374" s="29" t="s">
        <v>500</v>
      </c>
      <c r="B374" s="3" t="s">
        <v>15</v>
      </c>
      <c r="C374" s="9" t="s">
        <v>86</v>
      </c>
      <c r="D374" s="3" t="s">
        <v>36</v>
      </c>
      <c r="E374" s="25">
        <f>4.42-1.106</f>
        <v>3.3140000000000001</v>
      </c>
    </row>
    <row r="375" spans="1:5" ht="28.5" hidden="1" x14ac:dyDescent="0.25">
      <c r="A375" s="29" t="s">
        <v>500</v>
      </c>
      <c r="B375" s="3" t="s">
        <v>15</v>
      </c>
      <c r="C375" s="9" t="s">
        <v>86</v>
      </c>
      <c r="D375" s="3" t="s">
        <v>462</v>
      </c>
      <c r="E375" s="25">
        <f>1.106-0.462-0.554</f>
        <v>9.000000000000008E-2</v>
      </c>
    </row>
    <row r="376" spans="1:5" ht="28.5" hidden="1" x14ac:dyDescent="0.25">
      <c r="A376" s="29" t="s">
        <v>500</v>
      </c>
      <c r="B376" s="1" t="s">
        <v>15</v>
      </c>
      <c r="C376" s="9" t="s">
        <v>86</v>
      </c>
      <c r="D376" s="3" t="s">
        <v>370</v>
      </c>
      <c r="E376" s="25">
        <f>1.12-0.106-0.002-0.12-0.356-0.126-0.352+0.004</f>
        <v>6.2000000000000055E-2</v>
      </c>
    </row>
    <row r="377" spans="1:5" ht="28.5" hidden="1" x14ac:dyDescent="0.25">
      <c r="A377" s="29" t="s">
        <v>500</v>
      </c>
      <c r="B377" s="3" t="s">
        <v>15</v>
      </c>
      <c r="C377" s="9" t="s">
        <v>86</v>
      </c>
      <c r="D377" s="3" t="s">
        <v>100</v>
      </c>
      <c r="E377" s="25">
        <f>5.05-1.668-1.686</f>
        <v>1.6959999999999997</v>
      </c>
    </row>
    <row r="378" spans="1:5" ht="28.5" hidden="1" x14ac:dyDescent="0.25">
      <c r="A378" s="29" t="s">
        <v>500</v>
      </c>
      <c r="B378" s="3" t="s">
        <v>15</v>
      </c>
      <c r="C378" s="9" t="s">
        <v>86</v>
      </c>
      <c r="D378" s="3" t="s">
        <v>480</v>
      </c>
      <c r="E378" s="25">
        <f>8.5-3.38-1.725-1.698-0.354+0.003-0.363</f>
        <v>0.98299999999999987</v>
      </c>
    </row>
    <row r="379" spans="1:5" ht="28.5" hidden="1" x14ac:dyDescent="0.25">
      <c r="A379" s="29" t="s">
        <v>500</v>
      </c>
      <c r="B379" s="3" t="s">
        <v>15</v>
      </c>
      <c r="C379" s="9" t="s">
        <v>86</v>
      </c>
      <c r="D379" s="3" t="s">
        <v>114</v>
      </c>
      <c r="E379" s="25">
        <f>4.79-3.198</f>
        <v>1.5920000000000001</v>
      </c>
    </row>
    <row r="380" spans="1:5" ht="28.5" hidden="1" x14ac:dyDescent="0.25">
      <c r="A380" s="29" t="s">
        <v>500</v>
      </c>
      <c r="B380" s="1" t="s">
        <v>15</v>
      </c>
      <c r="C380" s="3" t="s">
        <v>86</v>
      </c>
      <c r="D380" s="3" t="s">
        <v>490</v>
      </c>
      <c r="E380" s="26">
        <f>8.79-1.8-3.6-1.706-0.66+0.02-0.282</f>
        <v>0.76199999999999912</v>
      </c>
    </row>
    <row r="381" spans="1:5" ht="28.5" hidden="1" x14ac:dyDescent="0.25">
      <c r="A381" s="29" t="s">
        <v>500</v>
      </c>
      <c r="B381" s="1" t="s">
        <v>15</v>
      </c>
      <c r="C381" s="3" t="s">
        <v>86</v>
      </c>
      <c r="D381" s="3" t="s">
        <v>353</v>
      </c>
      <c r="E381" s="26">
        <f>1.706-0.252-0.118-0.002-0.222-0.002-0.206-0.668</f>
        <v>0.23599999999999988</v>
      </c>
    </row>
    <row r="382" spans="1:5" ht="28.5" hidden="1" x14ac:dyDescent="0.25">
      <c r="A382" s="29" t="s">
        <v>500</v>
      </c>
      <c r="B382" s="1" t="s">
        <v>15</v>
      </c>
      <c r="C382" s="3" t="s">
        <v>86</v>
      </c>
      <c r="D382" s="3" t="s">
        <v>107</v>
      </c>
      <c r="E382" s="26">
        <f>5.1</f>
        <v>5.0999999999999996</v>
      </c>
    </row>
    <row r="383" spans="1:5" ht="28.5" hidden="1" x14ac:dyDescent="0.25">
      <c r="A383" s="29" t="s">
        <v>500</v>
      </c>
      <c r="B383" s="3" t="s">
        <v>15</v>
      </c>
      <c r="C383" s="3" t="s">
        <v>86</v>
      </c>
      <c r="D383" s="3" t="s">
        <v>116</v>
      </c>
      <c r="E383" s="25">
        <f>7.25-1.8-1.812-1.748</f>
        <v>1.89</v>
      </c>
    </row>
    <row r="384" spans="1:5" ht="28.5" hidden="1" x14ac:dyDescent="0.25">
      <c r="A384" s="29" t="s">
        <v>500</v>
      </c>
      <c r="B384" s="3" t="s">
        <v>15</v>
      </c>
      <c r="C384" s="3" t="s">
        <v>86</v>
      </c>
      <c r="D384" s="3" t="s">
        <v>408</v>
      </c>
      <c r="E384" s="25">
        <f>1.748-0.482</f>
        <v>1.266</v>
      </c>
    </row>
    <row r="385" spans="1:5" ht="28.5" hidden="1" x14ac:dyDescent="0.25">
      <c r="A385" s="29" t="s">
        <v>500</v>
      </c>
      <c r="B385" s="3" t="s">
        <v>15</v>
      </c>
      <c r="C385" s="3" t="s">
        <v>86</v>
      </c>
      <c r="D385" s="3" t="s">
        <v>410</v>
      </c>
      <c r="E385" s="25">
        <f>1.812-0.918-0.474-0.01</f>
        <v>0.41000000000000003</v>
      </c>
    </row>
    <row r="386" spans="1:5" ht="28.5" hidden="1" x14ac:dyDescent="0.25">
      <c r="A386" s="29" t="s">
        <v>500</v>
      </c>
      <c r="B386" s="3" t="s">
        <v>15</v>
      </c>
      <c r="C386" s="3" t="s">
        <v>86</v>
      </c>
      <c r="D386" s="3" t="s">
        <v>116</v>
      </c>
      <c r="E386" s="25">
        <f>3.65</f>
        <v>3.65</v>
      </c>
    </row>
    <row r="387" spans="1:5" ht="28.5" hidden="1" x14ac:dyDescent="0.25">
      <c r="A387" s="29" t="s">
        <v>500</v>
      </c>
      <c r="B387" s="3" t="s">
        <v>15</v>
      </c>
      <c r="C387" s="3" t="s">
        <v>86</v>
      </c>
      <c r="D387" s="3" t="s">
        <v>109</v>
      </c>
      <c r="E387" s="25">
        <f>5.49</f>
        <v>5.49</v>
      </c>
    </row>
    <row r="388" spans="1:5" ht="28.5" hidden="1" x14ac:dyDescent="0.25">
      <c r="A388" s="29" t="s">
        <v>500</v>
      </c>
      <c r="B388" s="3" t="s">
        <v>15</v>
      </c>
      <c r="C388" s="3" t="s">
        <v>240</v>
      </c>
      <c r="D388" s="3" t="s">
        <v>238</v>
      </c>
      <c r="E388" s="25">
        <v>1.302</v>
      </c>
    </row>
    <row r="389" spans="1:5" ht="28.5" hidden="1" x14ac:dyDescent="0.25">
      <c r="A389" s="29" t="s">
        <v>500</v>
      </c>
      <c r="B389" s="3" t="s">
        <v>15</v>
      </c>
      <c r="C389" s="9" t="s">
        <v>86</v>
      </c>
      <c r="D389" s="3" t="s">
        <v>157</v>
      </c>
      <c r="E389" s="25">
        <f>1.8-0.53-0.288-0.29-0.414-0.07</f>
        <v>0.20799999999999996</v>
      </c>
    </row>
    <row r="390" spans="1:5" ht="28.5" hidden="1" x14ac:dyDescent="0.25">
      <c r="A390" s="29" t="s">
        <v>500</v>
      </c>
      <c r="B390" s="3" t="s">
        <v>15</v>
      </c>
      <c r="C390" s="3" t="s">
        <v>86</v>
      </c>
      <c r="D390" s="3" t="s">
        <v>121</v>
      </c>
      <c r="E390" s="25">
        <f>3.69-1.832</f>
        <v>1.8579999999999999</v>
      </c>
    </row>
    <row r="391" spans="1:5" ht="28.5" hidden="1" x14ac:dyDescent="0.25">
      <c r="A391" s="29" t="s">
        <v>500</v>
      </c>
      <c r="B391" s="1" t="s">
        <v>71</v>
      </c>
      <c r="C391" s="9" t="s">
        <v>438</v>
      </c>
      <c r="D391" s="15" t="s">
        <v>8</v>
      </c>
      <c r="E391" s="24">
        <f>2.092-0.342</f>
        <v>1.75</v>
      </c>
    </row>
    <row r="392" spans="1:5" ht="28.5" hidden="1" x14ac:dyDescent="0.25">
      <c r="A392" s="29" t="s">
        <v>500</v>
      </c>
      <c r="B392" s="1" t="s">
        <v>71</v>
      </c>
      <c r="C392" s="9" t="s">
        <v>438</v>
      </c>
      <c r="D392" s="15" t="s">
        <v>9</v>
      </c>
      <c r="E392" s="24">
        <f>2.044</f>
        <v>2.044</v>
      </c>
    </row>
    <row r="393" spans="1:5" ht="28.5" hidden="1" x14ac:dyDescent="0.25">
      <c r="A393" s="29" t="s">
        <v>500</v>
      </c>
      <c r="B393" s="1" t="s">
        <v>71</v>
      </c>
      <c r="C393" s="9" t="s">
        <v>438</v>
      </c>
      <c r="D393" s="15" t="s">
        <v>78</v>
      </c>
      <c r="E393" s="24">
        <f>2.17</f>
        <v>2.17</v>
      </c>
    </row>
    <row r="394" spans="1:5" ht="28.5" hidden="1" x14ac:dyDescent="0.25">
      <c r="A394" s="29" t="s">
        <v>500</v>
      </c>
      <c r="B394" s="1" t="s">
        <v>71</v>
      </c>
      <c r="C394" s="9" t="s">
        <v>438</v>
      </c>
      <c r="D394" s="15" t="s">
        <v>28</v>
      </c>
      <c r="E394" s="24">
        <f>4.52</f>
        <v>4.5199999999999996</v>
      </c>
    </row>
    <row r="395" spans="1:5" ht="28.5" hidden="1" x14ac:dyDescent="0.25">
      <c r="A395" s="29" t="s">
        <v>500</v>
      </c>
      <c r="B395" s="1" t="s">
        <v>71</v>
      </c>
      <c r="C395" s="9" t="s">
        <v>103</v>
      </c>
      <c r="D395" s="15" t="s">
        <v>387</v>
      </c>
      <c r="E395" s="23">
        <f>3.97-0.57-2.278-0.565-0.294+0.011-0.076-0.048-0.002</f>
        <v>0.14800000000000041</v>
      </c>
    </row>
    <row r="396" spans="1:5" ht="28.5" hidden="1" x14ac:dyDescent="0.25">
      <c r="A396" s="29" t="s">
        <v>500</v>
      </c>
      <c r="B396" s="1" t="s">
        <v>71</v>
      </c>
      <c r="C396" s="9" t="s">
        <v>103</v>
      </c>
      <c r="D396" s="15" t="s">
        <v>28</v>
      </c>
      <c r="E396" s="23">
        <f>1.15</f>
        <v>1.1499999999999999</v>
      </c>
    </row>
    <row r="397" spans="1:5" ht="28.5" hidden="1" x14ac:dyDescent="0.25">
      <c r="A397" s="29" t="s">
        <v>500</v>
      </c>
      <c r="B397" s="1" t="s">
        <v>71</v>
      </c>
      <c r="C397" s="9" t="s">
        <v>438</v>
      </c>
      <c r="D397" s="15" t="s">
        <v>12</v>
      </c>
      <c r="E397" s="24">
        <f>4.98-2.13-0.72</f>
        <v>2.1300000000000008</v>
      </c>
    </row>
    <row r="398" spans="1:5" ht="28.5" hidden="1" x14ac:dyDescent="0.25">
      <c r="A398" s="29" t="s">
        <v>500</v>
      </c>
      <c r="B398" s="1" t="s">
        <v>71</v>
      </c>
      <c r="C398" s="9" t="s">
        <v>438</v>
      </c>
      <c r="D398" s="15" t="s">
        <v>464</v>
      </c>
      <c r="E398" s="24">
        <f>0.72-0.12</f>
        <v>0.6</v>
      </c>
    </row>
    <row r="399" spans="1:5" ht="28.5" hidden="1" x14ac:dyDescent="0.25">
      <c r="A399" s="29" t="s">
        <v>500</v>
      </c>
      <c r="B399" s="1" t="s">
        <v>71</v>
      </c>
      <c r="C399" s="9" t="s">
        <v>438</v>
      </c>
      <c r="D399" s="15" t="s">
        <v>454</v>
      </c>
      <c r="E399" s="24">
        <f>2.45</f>
        <v>2.4500000000000002</v>
      </c>
    </row>
    <row r="400" spans="1:5" ht="28.5" hidden="1" x14ac:dyDescent="0.25">
      <c r="A400" s="29" t="s">
        <v>500</v>
      </c>
      <c r="B400" s="1" t="s">
        <v>71</v>
      </c>
      <c r="C400" s="9" t="s">
        <v>438</v>
      </c>
      <c r="D400" s="15" t="s">
        <v>481</v>
      </c>
      <c r="E400" s="24">
        <f>7.5-2.3-1.428-1.158-1.424-0.495</f>
        <v>0.6950000000000004</v>
      </c>
    </row>
    <row r="401" spans="1:5" ht="28.5" hidden="1" x14ac:dyDescent="0.25">
      <c r="A401" s="29" t="s">
        <v>500</v>
      </c>
      <c r="B401" s="1" t="s">
        <v>71</v>
      </c>
      <c r="C401" s="9" t="s">
        <v>438</v>
      </c>
      <c r="D401" s="3" t="s">
        <v>100</v>
      </c>
      <c r="E401" s="27">
        <f>5.26-1.756-1.71</f>
        <v>1.7939999999999996</v>
      </c>
    </row>
    <row r="402" spans="1:5" ht="28.5" hidden="1" x14ac:dyDescent="0.25">
      <c r="A402" s="29" t="s">
        <v>500</v>
      </c>
      <c r="B402" s="1" t="s">
        <v>71</v>
      </c>
      <c r="C402" s="9" t="s">
        <v>438</v>
      </c>
      <c r="D402" s="3" t="s">
        <v>482</v>
      </c>
      <c r="E402" s="27">
        <f>1.71-0.47-0.534-0.276-0.004-0.3</f>
        <v>0.12599999999999995</v>
      </c>
    </row>
    <row r="403" spans="1:5" ht="28.5" hidden="1" x14ac:dyDescent="0.25">
      <c r="A403" s="29" t="s">
        <v>500</v>
      </c>
      <c r="B403" s="1" t="s">
        <v>71</v>
      </c>
      <c r="C403" s="9" t="s">
        <v>399</v>
      </c>
      <c r="D403" s="3" t="s">
        <v>400</v>
      </c>
      <c r="E403" s="27">
        <f>6.85-1.714-1.722-1.68</f>
        <v>1.7339999999999993</v>
      </c>
    </row>
    <row r="404" spans="1:5" ht="28.5" hidden="1" x14ac:dyDescent="0.25">
      <c r="A404" s="29" t="s">
        <v>500</v>
      </c>
      <c r="B404" s="1" t="s">
        <v>71</v>
      </c>
      <c r="C404" s="9" t="s">
        <v>399</v>
      </c>
      <c r="D404" s="3" t="s">
        <v>409</v>
      </c>
      <c r="E404" s="27">
        <f>1.722-0.182</f>
        <v>1.54</v>
      </c>
    </row>
    <row r="405" spans="1:5" ht="28.5" hidden="1" x14ac:dyDescent="0.25">
      <c r="A405" s="29" t="s">
        <v>500</v>
      </c>
      <c r="B405" s="1" t="s">
        <v>71</v>
      </c>
      <c r="C405" s="9" t="s">
        <v>438</v>
      </c>
      <c r="D405" s="3" t="s">
        <v>386</v>
      </c>
      <c r="E405" s="27">
        <f>1.7</f>
        <v>1.7</v>
      </c>
    </row>
    <row r="406" spans="1:5" ht="28.5" hidden="1" x14ac:dyDescent="0.25">
      <c r="A406" s="29" t="s">
        <v>500</v>
      </c>
      <c r="B406" s="1" t="s">
        <v>71</v>
      </c>
      <c r="C406" s="9" t="s">
        <v>96</v>
      </c>
      <c r="D406" s="3" t="s">
        <v>470</v>
      </c>
      <c r="E406" s="25">
        <f>3.37-1.7-0.562+0.012-0.128-0.002-0.344-0.004-0.114-0.115-0.001-0.004-0.098-0.098-0.004-0.096</f>
        <v>0.11200000000000015</v>
      </c>
    </row>
    <row r="407" spans="1:5" ht="28.5" hidden="1" x14ac:dyDescent="0.25">
      <c r="A407" s="29" t="s">
        <v>500</v>
      </c>
      <c r="B407" s="1" t="s">
        <v>71</v>
      </c>
      <c r="C407" s="9" t="s">
        <v>438</v>
      </c>
      <c r="D407" s="3" t="s">
        <v>107</v>
      </c>
      <c r="E407" s="27">
        <f>3.46-1.738</f>
        <v>1.722</v>
      </c>
    </row>
    <row r="408" spans="1:5" ht="28.5" hidden="1" x14ac:dyDescent="0.25">
      <c r="A408" s="29" t="s">
        <v>500</v>
      </c>
      <c r="B408" s="1" t="s">
        <v>71</v>
      </c>
      <c r="C408" s="9" t="s">
        <v>438</v>
      </c>
      <c r="D408" s="3" t="s">
        <v>453</v>
      </c>
      <c r="E408" s="27">
        <f>1.87</f>
        <v>1.87</v>
      </c>
    </row>
    <row r="409" spans="1:5" ht="28.5" hidden="1" x14ac:dyDescent="0.25">
      <c r="A409" s="29" t="s">
        <v>500</v>
      </c>
      <c r="B409" s="1" t="s">
        <v>71</v>
      </c>
      <c r="C409" s="9" t="s">
        <v>193</v>
      </c>
      <c r="D409" s="3" t="s">
        <v>194</v>
      </c>
      <c r="E409" s="25">
        <f>8.07-1.149-1.155-1.163-1.154-1.154</f>
        <v>2.2949999999999999</v>
      </c>
    </row>
    <row r="410" spans="1:5" ht="28.5" hidden="1" x14ac:dyDescent="0.25">
      <c r="A410" s="29" t="s">
        <v>500</v>
      </c>
      <c r="B410" s="1" t="s">
        <v>71</v>
      </c>
      <c r="C410" s="9" t="s">
        <v>193</v>
      </c>
      <c r="D410" s="3" t="s">
        <v>416</v>
      </c>
      <c r="E410" s="25">
        <f>1.154-0.194</f>
        <v>0.96</v>
      </c>
    </row>
    <row r="411" spans="1:5" ht="28.5" hidden="1" x14ac:dyDescent="0.25">
      <c r="A411" s="29" t="s">
        <v>500</v>
      </c>
      <c r="B411" s="1" t="s">
        <v>71</v>
      </c>
      <c r="C411" s="9" t="s">
        <v>193</v>
      </c>
      <c r="D411" s="3" t="s">
        <v>246</v>
      </c>
      <c r="E411" s="25">
        <f>1.14-0.288-0.292-0.442</f>
        <v>0.11799999999999983</v>
      </c>
    </row>
    <row r="412" spans="1:5" ht="28.5" hidden="1" x14ac:dyDescent="0.25">
      <c r="A412" s="29" t="s">
        <v>500</v>
      </c>
      <c r="B412" s="1" t="s">
        <v>71</v>
      </c>
      <c r="C412" s="9" t="s">
        <v>438</v>
      </c>
      <c r="D412" s="3" t="s">
        <v>116</v>
      </c>
      <c r="E412" s="25">
        <f>1.89</f>
        <v>1.89</v>
      </c>
    </row>
    <row r="413" spans="1:5" ht="28.5" hidden="1" x14ac:dyDescent="0.25">
      <c r="A413" s="29" t="s">
        <v>500</v>
      </c>
      <c r="B413" s="1" t="s">
        <v>71</v>
      </c>
      <c r="C413" s="9" t="s">
        <v>96</v>
      </c>
      <c r="D413" s="3" t="s">
        <v>109</v>
      </c>
      <c r="E413" s="27">
        <f>5.67-1.9-1.9</f>
        <v>1.87</v>
      </c>
    </row>
    <row r="414" spans="1:5" ht="28.5" hidden="1" x14ac:dyDescent="0.25">
      <c r="A414" s="29" t="s">
        <v>500</v>
      </c>
      <c r="B414" s="1" t="s">
        <v>71</v>
      </c>
      <c r="C414" s="9" t="s">
        <v>193</v>
      </c>
      <c r="D414" s="3" t="s">
        <v>195</v>
      </c>
      <c r="E414" s="27">
        <f>8.07-1.154-1.15</f>
        <v>5.766</v>
      </c>
    </row>
    <row r="415" spans="1:5" ht="28.5" hidden="1" x14ac:dyDescent="0.25">
      <c r="A415" s="29" t="s">
        <v>500</v>
      </c>
      <c r="B415" s="1" t="s">
        <v>71</v>
      </c>
      <c r="C415" s="9" t="s">
        <v>193</v>
      </c>
      <c r="D415" s="3" t="s">
        <v>216</v>
      </c>
      <c r="E415" s="27">
        <f>1.154-0.018-0.11</f>
        <v>1.0259999999999998</v>
      </c>
    </row>
    <row r="416" spans="1:5" ht="28.5" hidden="1" x14ac:dyDescent="0.25">
      <c r="A416" s="29" t="s">
        <v>500</v>
      </c>
      <c r="B416" s="1" t="s">
        <v>71</v>
      </c>
      <c r="C416" s="9" t="s">
        <v>193</v>
      </c>
      <c r="D416" s="3" t="s">
        <v>231</v>
      </c>
      <c r="E416" s="27">
        <f>4.67</f>
        <v>4.67</v>
      </c>
    </row>
    <row r="417" spans="1:5" ht="28.5" hidden="1" x14ac:dyDescent="0.25">
      <c r="A417" s="29" t="s">
        <v>500</v>
      </c>
      <c r="B417" s="1" t="s">
        <v>71</v>
      </c>
      <c r="C417" s="9" t="s">
        <v>96</v>
      </c>
      <c r="D417" s="3" t="s">
        <v>121</v>
      </c>
      <c r="E417" s="25">
        <f>7.56-1.905-1.885</f>
        <v>3.7699999999999996</v>
      </c>
    </row>
    <row r="418" spans="1:5" ht="28.5" hidden="1" x14ac:dyDescent="0.25">
      <c r="A418" s="29" t="s">
        <v>500</v>
      </c>
      <c r="B418" s="1" t="s">
        <v>71</v>
      </c>
      <c r="C418" s="9" t="s">
        <v>96</v>
      </c>
      <c r="D418" s="3" t="s">
        <v>219</v>
      </c>
      <c r="E418" s="25">
        <f>1.885-0.918-0.026-0.015</f>
        <v>0.92599999999999993</v>
      </c>
    </row>
    <row r="419" spans="1:5" ht="28.5" hidden="1" x14ac:dyDescent="0.25">
      <c r="A419" s="29" t="s">
        <v>500</v>
      </c>
      <c r="B419" s="1" t="s">
        <v>71</v>
      </c>
      <c r="C419" s="9" t="s">
        <v>96</v>
      </c>
      <c r="D419" s="3" t="s">
        <v>161</v>
      </c>
      <c r="E419" s="25">
        <f>1.905-0.806-0.027</f>
        <v>1.0720000000000001</v>
      </c>
    </row>
    <row r="420" spans="1:5" ht="28.5" hidden="1" x14ac:dyDescent="0.25">
      <c r="A420" s="29" t="s">
        <v>500</v>
      </c>
      <c r="B420" s="1" t="s">
        <v>71</v>
      </c>
      <c r="C420" s="9" t="s">
        <v>193</v>
      </c>
      <c r="D420" s="3" t="s">
        <v>232</v>
      </c>
      <c r="E420" s="27">
        <v>2.33</v>
      </c>
    </row>
    <row r="421" spans="1:5" ht="28.5" hidden="1" x14ac:dyDescent="0.25">
      <c r="A421" s="29" t="s">
        <v>500</v>
      </c>
      <c r="B421" s="1" t="s">
        <v>71</v>
      </c>
      <c r="C421" s="9" t="s">
        <v>96</v>
      </c>
      <c r="D421" s="3" t="s">
        <v>247</v>
      </c>
      <c r="E421" s="27">
        <f>1.821-0.684-0.001-0.388+0.002</f>
        <v>0.75000000000000011</v>
      </c>
    </row>
    <row r="422" spans="1:5" ht="28.5" hidden="1" x14ac:dyDescent="0.25">
      <c r="A422" s="29" t="s">
        <v>500</v>
      </c>
      <c r="B422" s="1" t="s">
        <v>71</v>
      </c>
      <c r="C422" s="9" t="s">
        <v>193</v>
      </c>
      <c r="D422" s="3" t="s">
        <v>227</v>
      </c>
      <c r="E422" s="27">
        <f>3.43-1.134</f>
        <v>2.2960000000000003</v>
      </c>
    </row>
    <row r="423" spans="1:5" ht="28.5" hidden="1" x14ac:dyDescent="0.25">
      <c r="A423" s="29" t="s">
        <v>500</v>
      </c>
      <c r="B423" s="1" t="s">
        <v>71</v>
      </c>
      <c r="C423" s="9" t="s">
        <v>193</v>
      </c>
      <c r="D423" s="3" t="s">
        <v>228</v>
      </c>
      <c r="E423" s="27">
        <f>3.51</f>
        <v>3.51</v>
      </c>
    </row>
    <row r="424" spans="1:5" ht="28.5" hidden="1" x14ac:dyDescent="0.25">
      <c r="A424" s="29" t="s">
        <v>500</v>
      </c>
      <c r="B424" s="1" t="s">
        <v>71</v>
      </c>
      <c r="C424" s="9" t="s">
        <v>193</v>
      </c>
      <c r="D424" s="3" t="s">
        <v>229</v>
      </c>
      <c r="E424" s="27">
        <f>3.46</f>
        <v>3.46</v>
      </c>
    </row>
    <row r="425" spans="1:5" ht="28.5" hidden="1" x14ac:dyDescent="0.25">
      <c r="A425" s="29" t="s">
        <v>101</v>
      </c>
      <c r="B425" s="15" t="s">
        <v>361</v>
      </c>
      <c r="C425" s="15"/>
      <c r="D425" s="15" t="s">
        <v>55</v>
      </c>
      <c r="E425" s="23">
        <v>1.4410000000000001</v>
      </c>
    </row>
    <row r="426" spans="1:5" hidden="1" x14ac:dyDescent="0.25">
      <c r="A426" s="29" t="s">
        <v>101</v>
      </c>
      <c r="B426" s="15" t="s">
        <v>319</v>
      </c>
      <c r="C426" s="15" t="s">
        <v>321</v>
      </c>
      <c r="D426" s="15" t="s">
        <v>320</v>
      </c>
      <c r="E426" s="23">
        <f>1.965-0.414</f>
        <v>1.5510000000000002</v>
      </c>
    </row>
    <row r="427" spans="1:5" ht="28.5" hidden="1" x14ac:dyDescent="0.25">
      <c r="A427" s="29" t="s">
        <v>101</v>
      </c>
      <c r="B427" s="15" t="s">
        <v>89</v>
      </c>
      <c r="C427" s="15" t="s">
        <v>424</v>
      </c>
      <c r="D427" s="15" t="s">
        <v>423</v>
      </c>
      <c r="E427" s="24">
        <f>1.441-0.502-0.5</f>
        <v>0.43900000000000006</v>
      </c>
    </row>
    <row r="428" spans="1:5" ht="28.5" hidden="1" x14ac:dyDescent="0.25">
      <c r="A428" s="29" t="s">
        <v>101</v>
      </c>
      <c r="B428" s="15" t="s">
        <v>89</v>
      </c>
      <c r="C428" s="15" t="s">
        <v>324</v>
      </c>
      <c r="D428" s="15" t="s">
        <v>8</v>
      </c>
      <c r="E428" s="23">
        <f>2.06-0.142-0.048</f>
        <v>1.87</v>
      </c>
    </row>
    <row r="429" spans="1:5" ht="28.5" hidden="1" x14ac:dyDescent="0.25">
      <c r="A429" s="29" t="s">
        <v>101</v>
      </c>
      <c r="B429" s="15" t="s">
        <v>89</v>
      </c>
      <c r="C429" s="15" t="s">
        <v>324</v>
      </c>
      <c r="D429" s="15" t="s">
        <v>9</v>
      </c>
      <c r="E429" s="23">
        <f>2.026-0.19</f>
        <v>1.8359999999999999</v>
      </c>
    </row>
    <row r="430" spans="1:5" ht="28.5" hidden="1" x14ac:dyDescent="0.25">
      <c r="A430" s="29" t="s">
        <v>101</v>
      </c>
      <c r="B430" s="1" t="s">
        <v>89</v>
      </c>
      <c r="C430" s="3" t="s">
        <v>325</v>
      </c>
      <c r="D430" s="15" t="s">
        <v>78</v>
      </c>
      <c r="E430" s="23">
        <f>1.46</f>
        <v>1.46</v>
      </c>
    </row>
    <row r="431" spans="1:5" ht="28.5" hidden="1" x14ac:dyDescent="0.25">
      <c r="A431" s="29" t="s">
        <v>101</v>
      </c>
      <c r="B431" s="1" t="s">
        <v>89</v>
      </c>
      <c r="C431" s="3" t="s">
        <v>325</v>
      </c>
      <c r="D431" s="3" t="s">
        <v>385</v>
      </c>
      <c r="E431" s="25">
        <f>0.87</f>
        <v>0.87</v>
      </c>
    </row>
    <row r="432" spans="1:5" ht="28.5" hidden="1" x14ac:dyDescent="0.25">
      <c r="A432" s="29" t="s">
        <v>101</v>
      </c>
      <c r="B432" s="1" t="s">
        <v>89</v>
      </c>
      <c r="C432" s="3" t="s">
        <v>325</v>
      </c>
      <c r="D432" s="3" t="s">
        <v>483</v>
      </c>
      <c r="E432" s="25">
        <f>0.435-0.022-0.001-0.075</f>
        <v>0.33699999999999997</v>
      </c>
    </row>
    <row r="433" spans="1:5" ht="28.5" hidden="1" x14ac:dyDescent="0.25">
      <c r="A433" s="29" t="s">
        <v>101</v>
      </c>
      <c r="B433" s="1" t="s">
        <v>89</v>
      </c>
      <c r="C433" s="3" t="s">
        <v>325</v>
      </c>
      <c r="D433" s="3" t="s">
        <v>385</v>
      </c>
      <c r="E433" s="25">
        <f>1.73-0.435</f>
        <v>1.2949999999999999</v>
      </c>
    </row>
    <row r="434" spans="1:5" ht="28.5" hidden="1" x14ac:dyDescent="0.25">
      <c r="A434" s="29" t="s">
        <v>101</v>
      </c>
      <c r="B434" s="1" t="s">
        <v>89</v>
      </c>
      <c r="C434" s="3" t="s">
        <v>329</v>
      </c>
      <c r="D434" s="3" t="s">
        <v>326</v>
      </c>
      <c r="E434" s="25">
        <f>2.22</f>
        <v>2.2200000000000002</v>
      </c>
    </row>
    <row r="435" spans="1:5" ht="28.5" hidden="1" x14ac:dyDescent="0.25">
      <c r="A435" s="29" t="s">
        <v>101</v>
      </c>
      <c r="B435" s="1" t="s">
        <v>89</v>
      </c>
      <c r="C435" s="3" t="s">
        <v>106</v>
      </c>
      <c r="D435" s="3" t="s">
        <v>143</v>
      </c>
      <c r="E435" s="25">
        <f>2.19-0.724</f>
        <v>1.466</v>
      </c>
    </row>
    <row r="436" spans="1:5" ht="28.5" hidden="1" x14ac:dyDescent="0.25">
      <c r="A436" s="29" t="s">
        <v>101</v>
      </c>
      <c r="B436" s="1" t="s">
        <v>89</v>
      </c>
      <c r="C436" s="3" t="s">
        <v>106</v>
      </c>
      <c r="D436" s="3" t="s">
        <v>460</v>
      </c>
      <c r="E436" s="25">
        <f>0.724-0.15-0.15-0.074-0.058-0.116-0.004-0.034</f>
        <v>0.13799999999999993</v>
      </c>
    </row>
    <row r="437" spans="1:5" ht="28.5" hidden="1" x14ac:dyDescent="0.25">
      <c r="A437" s="29" t="s">
        <v>101</v>
      </c>
      <c r="B437" s="1" t="s">
        <v>89</v>
      </c>
      <c r="C437" s="3" t="s">
        <v>325</v>
      </c>
      <c r="D437" s="3" t="s">
        <v>143</v>
      </c>
      <c r="E437" s="25">
        <f>2.16</f>
        <v>2.16</v>
      </c>
    </row>
    <row r="438" spans="1:5" ht="28.5" hidden="1" x14ac:dyDescent="0.25">
      <c r="A438" s="29" t="s">
        <v>101</v>
      </c>
      <c r="B438" s="1" t="s">
        <v>89</v>
      </c>
      <c r="C438" s="3" t="s">
        <v>106</v>
      </c>
      <c r="D438" s="3" t="s">
        <v>383</v>
      </c>
      <c r="E438" s="25">
        <f>0.91-0.042-0.046-0.004-0.1-0.143-0.003-0.036-0.036+0.002-0.24-0.002-0.14-0.045-0.036+0.003</f>
        <v>4.1999999999999892E-2</v>
      </c>
    </row>
    <row r="439" spans="1:5" ht="28.5" hidden="1" x14ac:dyDescent="0.25">
      <c r="A439" s="29" t="s">
        <v>101</v>
      </c>
      <c r="B439" s="1" t="s">
        <v>89</v>
      </c>
      <c r="C439" s="3" t="s">
        <v>106</v>
      </c>
      <c r="D439" s="3" t="s">
        <v>220</v>
      </c>
      <c r="E439" s="27">
        <f>0.898-0.135</f>
        <v>0.76300000000000001</v>
      </c>
    </row>
    <row r="440" spans="1:5" ht="28.5" hidden="1" x14ac:dyDescent="0.25">
      <c r="A440" s="29" t="s">
        <v>101</v>
      </c>
      <c r="B440" s="1" t="s">
        <v>89</v>
      </c>
      <c r="C440" s="3" t="s">
        <v>325</v>
      </c>
      <c r="D440" s="3" t="s">
        <v>327</v>
      </c>
      <c r="E440" s="25">
        <f>1.68</f>
        <v>1.68</v>
      </c>
    </row>
    <row r="441" spans="1:5" ht="28.5" hidden="1" x14ac:dyDescent="0.25">
      <c r="A441" s="29" t="s">
        <v>101</v>
      </c>
      <c r="B441" s="1" t="s">
        <v>89</v>
      </c>
      <c r="C441" s="3" t="s">
        <v>106</v>
      </c>
      <c r="D441" s="3" t="s">
        <v>328</v>
      </c>
      <c r="E441" s="27">
        <f>2.55-0.85</f>
        <v>1.6999999999999997</v>
      </c>
    </row>
    <row r="442" spans="1:5" ht="28.5" hidden="1" x14ac:dyDescent="0.25">
      <c r="A442" s="29" t="s">
        <v>101</v>
      </c>
      <c r="B442" s="1" t="s">
        <v>89</v>
      </c>
      <c r="C442" s="3" t="s">
        <v>108</v>
      </c>
      <c r="D442" s="3" t="s">
        <v>461</v>
      </c>
      <c r="E442" s="27">
        <f>1.94-0.94-0.067-0.025-0.134+0.002-0.242-0.006-0.076</f>
        <v>0.45200000000000001</v>
      </c>
    </row>
    <row r="443" spans="1:5" ht="28.5" hidden="1" x14ac:dyDescent="0.25">
      <c r="A443" s="29" t="s">
        <v>101</v>
      </c>
      <c r="B443" s="1" t="s">
        <v>89</v>
      </c>
      <c r="C443" s="3" t="s">
        <v>108</v>
      </c>
      <c r="D443" s="3" t="s">
        <v>330</v>
      </c>
      <c r="E443" s="25">
        <f>3.1-1.048-1.042</f>
        <v>1.01</v>
      </c>
    </row>
    <row r="444" spans="1:5" ht="28.5" hidden="1" x14ac:dyDescent="0.25">
      <c r="A444" s="29" t="s">
        <v>101</v>
      </c>
      <c r="B444" s="1" t="s">
        <v>89</v>
      </c>
      <c r="C444" s="3" t="s">
        <v>108</v>
      </c>
      <c r="D444" s="3" t="s">
        <v>371</v>
      </c>
      <c r="E444" s="25">
        <f>1.048-0.178-0.102-0.004</f>
        <v>0.76400000000000012</v>
      </c>
    </row>
    <row r="445" spans="1:5" ht="28.5" hidden="1" x14ac:dyDescent="0.25">
      <c r="A445" s="29" t="s">
        <v>101</v>
      </c>
      <c r="B445" s="1" t="s">
        <v>89</v>
      </c>
      <c r="C445" s="3" t="s">
        <v>108</v>
      </c>
      <c r="D445" s="3" t="s">
        <v>331</v>
      </c>
      <c r="E445" s="25">
        <f>3.11-1.038-1.035</f>
        <v>1.0370000000000001</v>
      </c>
    </row>
    <row r="446" spans="1:5" ht="28.5" hidden="1" x14ac:dyDescent="0.25">
      <c r="A446" s="29" t="s">
        <v>101</v>
      </c>
      <c r="B446" s="1" t="s">
        <v>89</v>
      </c>
      <c r="C446" s="3" t="s">
        <v>108</v>
      </c>
      <c r="D446" s="3" t="s">
        <v>372</v>
      </c>
      <c r="E446" s="25">
        <f>1.038-0.692-0.128</f>
        <v>0.21800000000000008</v>
      </c>
    </row>
    <row r="447" spans="1:5" ht="28.5" hidden="1" x14ac:dyDescent="0.25">
      <c r="A447" s="29" t="s">
        <v>101</v>
      </c>
      <c r="B447" s="1" t="s">
        <v>89</v>
      </c>
      <c r="C447" s="3" t="s">
        <v>108</v>
      </c>
      <c r="D447" s="3" t="s">
        <v>115</v>
      </c>
      <c r="E447" s="25">
        <f>3.3-1.11</f>
        <v>2.1899999999999995</v>
      </c>
    </row>
    <row r="448" spans="1:5" x14ac:dyDescent="0.25">
      <c r="A448" s="29" t="s">
        <v>497</v>
      </c>
      <c r="B448" s="15" t="s">
        <v>217</v>
      </c>
      <c r="C448" s="15" t="s">
        <v>218</v>
      </c>
      <c r="D448" s="15">
        <v>200</v>
      </c>
      <c r="E448" s="23">
        <f>0.726-0.372</f>
        <v>0.35399999999999998</v>
      </c>
    </row>
    <row r="449" spans="1:5" x14ac:dyDescent="0.25">
      <c r="A449" s="29" t="s">
        <v>497</v>
      </c>
      <c r="B449" s="15" t="s">
        <v>4</v>
      </c>
      <c r="C449" s="15" t="s">
        <v>199</v>
      </c>
      <c r="D449" s="15">
        <v>40</v>
      </c>
      <c r="E449" s="23">
        <f>1.18-0.384-0.114</f>
        <v>0.68199999999999994</v>
      </c>
    </row>
    <row r="450" spans="1:5" x14ac:dyDescent="0.25">
      <c r="A450" s="29" t="s">
        <v>497</v>
      </c>
      <c r="B450" s="15" t="s">
        <v>6</v>
      </c>
      <c r="C450" s="15"/>
      <c r="D450" s="15">
        <v>34</v>
      </c>
      <c r="E450" s="23">
        <f>0.037</f>
        <v>3.6999999999999998E-2</v>
      </c>
    </row>
    <row r="451" spans="1:5" x14ac:dyDescent="0.25">
      <c r="A451" s="29" t="s">
        <v>497</v>
      </c>
      <c r="B451" s="15" t="s">
        <v>183</v>
      </c>
      <c r="C451" s="15" t="s">
        <v>184</v>
      </c>
      <c r="D451" s="15">
        <v>15</v>
      </c>
      <c r="E451" s="23">
        <f>0.496</f>
        <v>0.496</v>
      </c>
    </row>
    <row r="452" spans="1:5" x14ac:dyDescent="0.25">
      <c r="A452" s="29" t="s">
        <v>497</v>
      </c>
      <c r="B452" s="15" t="s">
        <v>183</v>
      </c>
      <c r="C452" s="15" t="s">
        <v>184</v>
      </c>
      <c r="D452" s="15">
        <v>25</v>
      </c>
      <c r="E452" s="23">
        <f>1-0.464-0.111-0.068</f>
        <v>0.35700000000000004</v>
      </c>
    </row>
    <row r="453" spans="1:5" x14ac:dyDescent="0.25">
      <c r="A453" s="29" t="s">
        <v>497</v>
      </c>
      <c r="B453" s="15" t="s">
        <v>183</v>
      </c>
      <c r="C453" s="15" t="s">
        <v>184</v>
      </c>
      <c r="D453" s="15">
        <v>30</v>
      </c>
      <c r="E453" s="23">
        <f>0.99-0.45</f>
        <v>0.54</v>
      </c>
    </row>
    <row r="454" spans="1:5" x14ac:dyDescent="0.25">
      <c r="A454" s="29" t="s">
        <v>497</v>
      </c>
      <c r="B454" s="15" t="s">
        <v>21</v>
      </c>
      <c r="C454" s="15" t="s">
        <v>175</v>
      </c>
      <c r="D454" s="15" t="s">
        <v>192</v>
      </c>
      <c r="E454" s="23">
        <f>0.026</f>
        <v>2.5999999999999999E-2</v>
      </c>
    </row>
    <row r="455" spans="1:5" ht="28.5" x14ac:dyDescent="0.25">
      <c r="A455" s="29" t="s">
        <v>497</v>
      </c>
      <c r="B455" s="15" t="s">
        <v>21</v>
      </c>
      <c r="C455" s="15" t="s">
        <v>125</v>
      </c>
      <c r="D455" s="15">
        <v>14</v>
      </c>
      <c r="E455" s="23">
        <f>0.15</f>
        <v>0.15</v>
      </c>
    </row>
    <row r="456" spans="1:5" x14ac:dyDescent="0.25">
      <c r="A456" s="29" t="s">
        <v>497</v>
      </c>
      <c r="B456" s="15" t="s">
        <v>16</v>
      </c>
      <c r="C456" s="15" t="s">
        <v>175</v>
      </c>
      <c r="D456" s="15">
        <v>18</v>
      </c>
      <c r="E456" s="23">
        <f>0.8-0.204-0.02</f>
        <v>0.57600000000000007</v>
      </c>
    </row>
    <row r="457" spans="1:5" x14ac:dyDescent="0.25">
      <c r="A457" s="29" t="s">
        <v>497</v>
      </c>
      <c r="B457" s="15" t="s">
        <v>21</v>
      </c>
      <c r="C457" s="15" t="s">
        <v>175</v>
      </c>
      <c r="D457" s="15">
        <v>36</v>
      </c>
      <c r="E457" s="23">
        <f>0.812</f>
        <v>0.81200000000000006</v>
      </c>
    </row>
    <row r="458" spans="1:5" x14ac:dyDescent="0.25">
      <c r="A458" s="29" t="s">
        <v>497</v>
      </c>
      <c r="B458" s="15" t="s">
        <v>21</v>
      </c>
      <c r="C458" s="15" t="s">
        <v>175</v>
      </c>
      <c r="D458" s="15">
        <v>36</v>
      </c>
      <c r="E458" s="23">
        <f>0.09-0.016-0.02</f>
        <v>5.3999999999999992E-2</v>
      </c>
    </row>
    <row r="459" spans="1:5" x14ac:dyDescent="0.25">
      <c r="A459" s="29" t="s">
        <v>497</v>
      </c>
      <c r="B459" s="15" t="s">
        <v>16</v>
      </c>
      <c r="C459" s="15" t="s">
        <v>175</v>
      </c>
      <c r="D459" s="15">
        <v>45</v>
      </c>
      <c r="E459" s="23">
        <f>0.774-0.166-0.025</f>
        <v>0.58299999999999996</v>
      </c>
    </row>
    <row r="460" spans="1:5" x14ac:dyDescent="0.25">
      <c r="A460" s="29" t="s">
        <v>497</v>
      </c>
      <c r="B460" s="15" t="s">
        <v>21</v>
      </c>
      <c r="C460" s="15" t="s">
        <v>175</v>
      </c>
      <c r="D460" s="15">
        <v>45</v>
      </c>
      <c r="E460" s="23">
        <f>0.842-0.222</f>
        <v>0.62</v>
      </c>
    </row>
    <row r="461" spans="1:5" ht="28.5" x14ac:dyDescent="0.25">
      <c r="A461" s="29" t="s">
        <v>497</v>
      </c>
      <c r="B461" s="4" t="s">
        <v>15</v>
      </c>
      <c r="C461" s="15" t="s">
        <v>393</v>
      </c>
      <c r="D461" s="14" t="s">
        <v>243</v>
      </c>
      <c r="E461" s="23">
        <v>0.1</v>
      </c>
    </row>
    <row r="462" spans="1:5" x14ac:dyDescent="0.25">
      <c r="A462" s="29" t="s">
        <v>497</v>
      </c>
      <c r="B462" s="4" t="s">
        <v>15</v>
      </c>
      <c r="C462" s="15" t="s">
        <v>178</v>
      </c>
      <c r="D462" s="14" t="s">
        <v>177</v>
      </c>
      <c r="E462" s="23">
        <f>0.081</f>
        <v>8.1000000000000003E-2</v>
      </c>
    </row>
    <row r="463" spans="1:5" x14ac:dyDescent="0.25">
      <c r="A463" s="29" t="s">
        <v>497</v>
      </c>
      <c r="B463" s="15" t="s">
        <v>179</v>
      </c>
      <c r="C463" s="15" t="s">
        <v>176</v>
      </c>
      <c r="D463" s="15">
        <v>20</v>
      </c>
      <c r="E463" s="23">
        <f>0.046</f>
        <v>4.5999999999999999E-2</v>
      </c>
    </row>
    <row r="464" spans="1:5" x14ac:dyDescent="0.25">
      <c r="A464" s="29" t="s">
        <v>497</v>
      </c>
      <c r="B464" s="15" t="s">
        <v>332</v>
      </c>
      <c r="C464" s="17" t="s">
        <v>334</v>
      </c>
      <c r="D464" s="15">
        <v>130</v>
      </c>
      <c r="E464" s="23">
        <f>0.898-0.42</f>
        <v>0.47800000000000004</v>
      </c>
    </row>
    <row r="465" spans="1:5" x14ac:dyDescent="0.25">
      <c r="A465" s="29" t="s">
        <v>497</v>
      </c>
      <c r="B465" s="15" t="s">
        <v>412</v>
      </c>
      <c r="C465" s="7" t="s">
        <v>418</v>
      </c>
      <c r="D465" s="15" t="s">
        <v>413</v>
      </c>
      <c r="E465" s="23">
        <v>2.93</v>
      </c>
    </row>
    <row r="466" spans="1:5" x14ac:dyDescent="0.25">
      <c r="A466" s="29" t="s">
        <v>497</v>
      </c>
      <c r="B466" s="3" t="s">
        <v>27</v>
      </c>
      <c r="C466" s="15" t="s">
        <v>176</v>
      </c>
      <c r="D466" s="7">
        <v>30</v>
      </c>
      <c r="E466" s="27">
        <v>0.156</v>
      </c>
    </row>
    <row r="467" spans="1:5" x14ac:dyDescent="0.25">
      <c r="A467" s="29" t="s">
        <v>497</v>
      </c>
      <c r="B467" s="3" t="s">
        <v>27</v>
      </c>
      <c r="C467" s="15" t="s">
        <v>176</v>
      </c>
      <c r="D467" s="7">
        <v>100</v>
      </c>
      <c r="E467" s="27">
        <f>1.27-0.128-0.638-0.246</f>
        <v>0.2579999999999999</v>
      </c>
    </row>
    <row r="468" spans="1:5" x14ac:dyDescent="0.25">
      <c r="A468" s="29" t="s">
        <v>497</v>
      </c>
      <c r="B468" s="3" t="s">
        <v>27</v>
      </c>
      <c r="C468" s="1" t="s">
        <v>85</v>
      </c>
      <c r="D468" s="7" t="s">
        <v>45</v>
      </c>
      <c r="E468" s="27">
        <v>0.25</v>
      </c>
    </row>
    <row r="469" spans="1:5" x14ac:dyDescent="0.25">
      <c r="A469" s="29" t="s">
        <v>497</v>
      </c>
      <c r="B469" s="10" t="s">
        <v>27</v>
      </c>
      <c r="C469" s="7" t="s">
        <v>299</v>
      </c>
      <c r="D469" s="3" t="s">
        <v>293</v>
      </c>
      <c r="E469" s="26">
        <f>2.624-0.158-0.756+0.002-0.9-0.412-0.118</f>
        <v>0.28200000000000019</v>
      </c>
    </row>
    <row r="470" spans="1:5" x14ac:dyDescent="0.25">
      <c r="A470" s="29" t="s">
        <v>497</v>
      </c>
      <c r="B470" s="10" t="s">
        <v>27</v>
      </c>
      <c r="C470" s="7" t="s">
        <v>299</v>
      </c>
      <c r="D470" s="3" t="s">
        <v>294</v>
      </c>
      <c r="E470" s="26">
        <f>1.949-0.881-0.596-0.152</f>
        <v>0.32000000000000006</v>
      </c>
    </row>
    <row r="471" spans="1:5" x14ac:dyDescent="0.25">
      <c r="A471" s="29" t="s">
        <v>497</v>
      </c>
      <c r="B471" s="10" t="s">
        <v>27</v>
      </c>
      <c r="C471" s="7" t="s">
        <v>299</v>
      </c>
      <c r="D471" s="3" t="s">
        <v>340</v>
      </c>
      <c r="E471" s="26">
        <f>1.684-0.354</f>
        <v>1.33</v>
      </c>
    </row>
    <row r="472" spans="1:5" x14ac:dyDescent="0.25">
      <c r="A472" s="29" t="s">
        <v>497</v>
      </c>
      <c r="B472" s="10" t="s">
        <v>27</v>
      </c>
      <c r="C472" s="7" t="s">
        <v>299</v>
      </c>
      <c r="D472" s="3" t="s">
        <v>295</v>
      </c>
      <c r="E472" s="26">
        <f>1.78-0.402</f>
        <v>1.3780000000000001</v>
      </c>
    </row>
    <row r="473" spans="1:5" x14ac:dyDescent="0.25">
      <c r="A473" s="29" t="s">
        <v>497</v>
      </c>
      <c r="B473" s="10" t="s">
        <v>27</v>
      </c>
      <c r="C473" s="7" t="s">
        <v>299</v>
      </c>
      <c r="D473" s="3" t="s">
        <v>265</v>
      </c>
      <c r="E473" s="26">
        <v>1.9259999999999999</v>
      </c>
    </row>
    <row r="474" spans="1:5" x14ac:dyDescent="0.25">
      <c r="A474" s="29" t="s">
        <v>497</v>
      </c>
      <c r="B474" s="10" t="s">
        <v>27</v>
      </c>
      <c r="C474" s="7" t="s">
        <v>299</v>
      </c>
      <c r="D474" s="3" t="s">
        <v>296</v>
      </c>
      <c r="E474" s="26">
        <f>2.866-0.28-0.608</f>
        <v>1.9780000000000002</v>
      </c>
    </row>
    <row r="475" spans="1:5" x14ac:dyDescent="0.25">
      <c r="A475" s="29" t="s">
        <v>497</v>
      </c>
      <c r="B475" s="10" t="s">
        <v>27</v>
      </c>
      <c r="C475" s="7" t="s">
        <v>299</v>
      </c>
      <c r="D475" s="3" t="s">
        <v>296</v>
      </c>
      <c r="E475" s="26">
        <f>0.874</f>
        <v>0.874</v>
      </c>
    </row>
    <row r="476" spans="1:5" x14ac:dyDescent="0.25">
      <c r="A476" s="29" t="s">
        <v>497</v>
      </c>
      <c r="B476" s="10" t="s">
        <v>298</v>
      </c>
      <c r="C476" s="7" t="s">
        <v>299</v>
      </c>
      <c r="D476" s="1" t="s">
        <v>297</v>
      </c>
      <c r="E476" s="31">
        <f>8.41-0.027-0.56</f>
        <v>7.8230000000000004</v>
      </c>
    </row>
    <row r="477" spans="1:5" x14ac:dyDescent="0.25">
      <c r="A477" s="29" t="s">
        <v>497</v>
      </c>
      <c r="B477" s="3" t="s">
        <v>264</v>
      </c>
      <c r="C477" s="1" t="s">
        <v>266</v>
      </c>
      <c r="D477" s="7" t="s">
        <v>265</v>
      </c>
      <c r="E477" s="27">
        <f>1.933-0.36</f>
        <v>1.573</v>
      </c>
    </row>
    <row r="478" spans="1:5" x14ac:dyDescent="0.25">
      <c r="A478" s="29" t="s">
        <v>497</v>
      </c>
      <c r="B478" s="3" t="s">
        <v>92</v>
      </c>
      <c r="C478" s="1" t="s">
        <v>176</v>
      </c>
      <c r="D478" s="7">
        <v>50</v>
      </c>
      <c r="E478" s="27">
        <f>2.375+2.115-0.304-0.066-1-0.945-0.06</f>
        <v>2.1150000000000002</v>
      </c>
    </row>
    <row r="479" spans="1:5" x14ac:dyDescent="0.25">
      <c r="A479" s="29" t="s">
        <v>497</v>
      </c>
      <c r="B479" s="3" t="s">
        <v>304</v>
      </c>
      <c r="C479" s="15" t="s">
        <v>305</v>
      </c>
      <c r="D479" s="7">
        <v>100</v>
      </c>
      <c r="E479" s="27">
        <f>0.756-0.346-0.001</f>
        <v>0.40900000000000003</v>
      </c>
    </row>
    <row r="480" spans="1:5" x14ac:dyDescent="0.25">
      <c r="A480" s="29" t="s">
        <v>497</v>
      </c>
      <c r="B480" s="3" t="s">
        <v>304</v>
      </c>
      <c r="C480" s="15" t="s">
        <v>305</v>
      </c>
      <c r="D480" s="7">
        <v>120</v>
      </c>
      <c r="E480" s="27">
        <f>0.246+0.26+0.318</f>
        <v>0.82400000000000007</v>
      </c>
    </row>
    <row r="481" spans="1:5" x14ac:dyDescent="0.25">
      <c r="A481" s="29" t="s">
        <v>497</v>
      </c>
      <c r="B481" s="3" t="s">
        <v>304</v>
      </c>
      <c r="C481" s="15" t="s">
        <v>305</v>
      </c>
      <c r="D481" s="7">
        <v>180</v>
      </c>
      <c r="E481" s="27">
        <f>0.948-0.004</f>
        <v>0.94399999999999995</v>
      </c>
    </row>
    <row r="482" spans="1:5" x14ac:dyDescent="0.25">
      <c r="A482" s="29" t="s">
        <v>497</v>
      </c>
      <c r="B482" s="3" t="s">
        <v>304</v>
      </c>
      <c r="C482" s="15" t="s">
        <v>244</v>
      </c>
      <c r="D482" s="7">
        <v>220</v>
      </c>
      <c r="E482" s="27">
        <f>1.586-1.27</f>
        <v>0.31600000000000006</v>
      </c>
    </row>
    <row r="483" spans="1:5" x14ac:dyDescent="0.25">
      <c r="A483" s="29" t="s">
        <v>497</v>
      </c>
      <c r="B483" s="3" t="s">
        <v>304</v>
      </c>
      <c r="C483" s="15" t="s">
        <v>244</v>
      </c>
      <c r="D483" s="7">
        <v>280</v>
      </c>
      <c r="E483" s="27">
        <f>2.522-0.816</f>
        <v>1.706</v>
      </c>
    </row>
    <row r="484" spans="1:5" x14ac:dyDescent="0.25">
      <c r="A484" s="29" t="s">
        <v>497</v>
      </c>
      <c r="B484" s="3" t="s">
        <v>304</v>
      </c>
      <c r="C484" s="15" t="s">
        <v>244</v>
      </c>
      <c r="D484" s="7">
        <v>380</v>
      </c>
      <c r="E484" s="27">
        <f>4.042-1.452-0.154-0.013</f>
        <v>2.423</v>
      </c>
    </row>
    <row r="485" spans="1:5" x14ac:dyDescent="0.25">
      <c r="A485" s="29" t="s">
        <v>497</v>
      </c>
      <c r="B485" s="3" t="s">
        <v>419</v>
      </c>
      <c r="C485" s="15" t="s">
        <v>176</v>
      </c>
      <c r="D485" s="7">
        <v>25</v>
      </c>
      <c r="E485" s="27">
        <v>1.8</v>
      </c>
    </row>
    <row r="486" spans="1:5" x14ac:dyDescent="0.25">
      <c r="A486" s="29" t="s">
        <v>497</v>
      </c>
      <c r="B486" s="3" t="s">
        <v>419</v>
      </c>
      <c r="C486" s="15" t="s">
        <v>176</v>
      </c>
      <c r="D486" s="7">
        <v>32</v>
      </c>
      <c r="E486" s="27">
        <v>3.11</v>
      </c>
    </row>
    <row r="487" spans="1:5" x14ac:dyDescent="0.25">
      <c r="A487" s="29" t="s">
        <v>497</v>
      </c>
      <c r="B487" s="3" t="s">
        <v>71</v>
      </c>
      <c r="C487" s="15" t="s">
        <v>182</v>
      </c>
      <c r="D487" s="15">
        <v>250</v>
      </c>
      <c r="E487" s="23">
        <f>0.544-0.428</f>
        <v>0.11600000000000005</v>
      </c>
    </row>
    <row r="488" spans="1:5" x14ac:dyDescent="0.25">
      <c r="A488" s="29" t="s">
        <v>497</v>
      </c>
      <c r="B488" s="3" t="s">
        <v>71</v>
      </c>
      <c r="C488" s="15" t="s">
        <v>182</v>
      </c>
      <c r="D488" s="7">
        <v>260</v>
      </c>
      <c r="E488" s="27">
        <f>1.755-0.256</f>
        <v>1.4989999999999999</v>
      </c>
    </row>
    <row r="489" spans="1:5" x14ac:dyDescent="0.25">
      <c r="A489" s="29" t="s">
        <v>497</v>
      </c>
      <c r="B489" s="3" t="s">
        <v>71</v>
      </c>
      <c r="C489" s="15" t="s">
        <v>182</v>
      </c>
      <c r="D489" s="7">
        <v>280</v>
      </c>
      <c r="E489" s="27">
        <f>0.435-0.305</f>
        <v>0.13</v>
      </c>
    </row>
    <row r="490" spans="1:5" x14ac:dyDescent="0.25">
      <c r="A490" s="29" t="s">
        <v>497</v>
      </c>
      <c r="B490" s="1" t="s">
        <v>82</v>
      </c>
      <c r="C490" s="15" t="s">
        <v>176</v>
      </c>
      <c r="D490" s="15">
        <v>10</v>
      </c>
      <c r="E490" s="23">
        <f>0.02-0.01</f>
        <v>0.01</v>
      </c>
    </row>
    <row r="491" spans="1:5" x14ac:dyDescent="0.25">
      <c r="A491" s="29" t="s">
        <v>497</v>
      </c>
      <c r="B491" s="1" t="s">
        <v>82</v>
      </c>
      <c r="C491" s="15" t="s">
        <v>176</v>
      </c>
      <c r="D491" s="15">
        <v>14</v>
      </c>
      <c r="E491" s="23">
        <f>0.28</f>
        <v>0.28000000000000003</v>
      </c>
    </row>
    <row r="492" spans="1:5" x14ac:dyDescent="0.25">
      <c r="A492" s="29" t="s">
        <v>497</v>
      </c>
      <c r="B492" s="1" t="s">
        <v>82</v>
      </c>
      <c r="C492" s="15" t="s">
        <v>176</v>
      </c>
      <c r="D492" s="15">
        <v>75</v>
      </c>
      <c r="E492" s="23">
        <f>0.14</f>
        <v>0.14000000000000001</v>
      </c>
    </row>
    <row r="493" spans="1:5" x14ac:dyDescent="0.25">
      <c r="A493" s="29" t="s">
        <v>497</v>
      </c>
      <c r="B493" s="1" t="s">
        <v>82</v>
      </c>
      <c r="C493" s="15" t="s">
        <v>305</v>
      </c>
      <c r="D493" s="15">
        <v>140</v>
      </c>
      <c r="E493" s="23">
        <f>1.456-0.416-0.128-0.13</f>
        <v>0.78200000000000003</v>
      </c>
    </row>
    <row r="494" spans="1:5" x14ac:dyDescent="0.25">
      <c r="A494" s="29" t="s">
        <v>497</v>
      </c>
      <c r="B494" s="1" t="s">
        <v>82</v>
      </c>
      <c r="C494" s="15" t="s">
        <v>305</v>
      </c>
      <c r="D494" s="15">
        <v>150</v>
      </c>
      <c r="E494" s="23">
        <f>2.904-1.08-0.932-0.146-0.292</f>
        <v>0.45399999999999979</v>
      </c>
    </row>
    <row r="495" spans="1:5" x14ac:dyDescent="0.25">
      <c r="A495" s="29" t="s">
        <v>497</v>
      </c>
      <c r="B495" s="1" t="s">
        <v>82</v>
      </c>
      <c r="C495" s="15" t="s">
        <v>305</v>
      </c>
      <c r="D495" s="15">
        <v>150</v>
      </c>
      <c r="E495" s="23">
        <f>0.866-0.003-0.44</f>
        <v>0.42299999999999999</v>
      </c>
    </row>
    <row r="496" spans="1:5" x14ac:dyDescent="0.25">
      <c r="A496" s="29" t="s">
        <v>497</v>
      </c>
      <c r="B496" s="1" t="s">
        <v>82</v>
      </c>
      <c r="C496" s="15" t="s">
        <v>305</v>
      </c>
      <c r="D496" s="15">
        <v>160</v>
      </c>
      <c r="E496" s="23">
        <f>1.028</f>
        <v>1.028</v>
      </c>
    </row>
    <row r="497" spans="1:5" x14ac:dyDescent="0.25">
      <c r="A497" s="29" t="s">
        <v>497</v>
      </c>
      <c r="B497" s="1" t="s">
        <v>82</v>
      </c>
      <c r="C497" s="15" t="s">
        <v>305</v>
      </c>
      <c r="D497" s="15">
        <v>160</v>
      </c>
      <c r="E497" s="23">
        <f>0.978-0.003</f>
        <v>0.97499999999999998</v>
      </c>
    </row>
    <row r="498" spans="1:5" x14ac:dyDescent="0.25">
      <c r="A498" s="29" t="s">
        <v>497</v>
      </c>
      <c r="B498" s="1" t="s">
        <v>82</v>
      </c>
      <c r="C498" s="15" t="s">
        <v>305</v>
      </c>
      <c r="D498" s="15">
        <v>170</v>
      </c>
      <c r="E498" s="23">
        <f>1.144-0.188-0.642</f>
        <v>0.31399999999999995</v>
      </c>
    </row>
    <row r="499" spans="1:5" x14ac:dyDescent="0.25">
      <c r="A499" s="29" t="s">
        <v>497</v>
      </c>
      <c r="B499" s="1" t="s">
        <v>82</v>
      </c>
      <c r="C499" s="15" t="s">
        <v>305</v>
      </c>
      <c r="D499" s="15">
        <v>180</v>
      </c>
      <c r="E499" s="23">
        <f>0.822+0.858+0.838+0.872-0.858-0.872</f>
        <v>1.6599999999999997</v>
      </c>
    </row>
    <row r="500" spans="1:5" x14ac:dyDescent="0.25">
      <c r="A500" s="29" t="s">
        <v>497</v>
      </c>
      <c r="B500" s="1" t="s">
        <v>82</v>
      </c>
      <c r="C500" s="15" t="s">
        <v>305</v>
      </c>
      <c r="D500" s="15">
        <v>190</v>
      </c>
      <c r="E500" s="23">
        <f>1.312-0.005-0.08</f>
        <v>1.2270000000000001</v>
      </c>
    </row>
    <row r="501" spans="1:5" x14ac:dyDescent="0.25">
      <c r="A501" s="29" t="s">
        <v>497</v>
      </c>
      <c r="B501" s="1" t="s">
        <v>82</v>
      </c>
      <c r="C501" s="15" t="s">
        <v>305</v>
      </c>
      <c r="D501" s="15">
        <v>190</v>
      </c>
      <c r="E501" s="23">
        <f>0.758</f>
        <v>0.75800000000000001</v>
      </c>
    </row>
    <row r="502" spans="1:5" x14ac:dyDescent="0.25">
      <c r="A502" s="29" t="s">
        <v>497</v>
      </c>
      <c r="B502" s="1" t="s">
        <v>82</v>
      </c>
      <c r="C502" s="15" t="s">
        <v>244</v>
      </c>
      <c r="D502" s="15">
        <v>220</v>
      </c>
      <c r="E502" s="23">
        <f>1.675-0.518-0.474-0.156</f>
        <v>0.52700000000000002</v>
      </c>
    </row>
    <row r="503" spans="1:5" x14ac:dyDescent="0.25">
      <c r="A503" s="29" t="s">
        <v>497</v>
      </c>
      <c r="B503" s="1" t="s">
        <v>82</v>
      </c>
      <c r="C503" s="15" t="s">
        <v>244</v>
      </c>
      <c r="D503" s="15">
        <v>230</v>
      </c>
      <c r="E503" s="23">
        <f>4.06-3.23</f>
        <v>0.82999999999999963</v>
      </c>
    </row>
    <row r="504" spans="1:5" x14ac:dyDescent="0.25">
      <c r="A504" s="29" t="s">
        <v>497</v>
      </c>
      <c r="B504" s="1" t="s">
        <v>82</v>
      </c>
      <c r="C504" s="15" t="s">
        <v>244</v>
      </c>
      <c r="D504" s="15">
        <v>240</v>
      </c>
      <c r="E504" s="23">
        <f>1.685-0.472</f>
        <v>1.2130000000000001</v>
      </c>
    </row>
    <row r="505" spans="1:5" x14ac:dyDescent="0.25">
      <c r="A505" s="29" t="s">
        <v>497</v>
      </c>
      <c r="B505" s="1" t="s">
        <v>82</v>
      </c>
      <c r="C505" s="15" t="s">
        <v>244</v>
      </c>
      <c r="D505" s="15">
        <v>250</v>
      </c>
      <c r="E505" s="23">
        <f>1.025-0.162</f>
        <v>0.86299999999999988</v>
      </c>
    </row>
    <row r="506" spans="1:5" x14ac:dyDescent="0.25">
      <c r="A506" s="29" t="s">
        <v>497</v>
      </c>
      <c r="B506" s="1" t="s">
        <v>82</v>
      </c>
      <c r="C506" s="15" t="s">
        <v>244</v>
      </c>
      <c r="D506" s="15">
        <v>250</v>
      </c>
      <c r="E506" s="23">
        <f>2.115</f>
        <v>2.1150000000000002</v>
      </c>
    </row>
    <row r="507" spans="1:5" x14ac:dyDescent="0.25">
      <c r="A507" s="29" t="s">
        <v>497</v>
      </c>
      <c r="B507" s="1" t="s">
        <v>82</v>
      </c>
      <c r="C507" s="15" t="s">
        <v>244</v>
      </c>
      <c r="D507" s="15">
        <v>260</v>
      </c>
      <c r="E507" s="23">
        <f>1.985-0.506</f>
        <v>1.4790000000000001</v>
      </c>
    </row>
    <row r="508" spans="1:5" x14ac:dyDescent="0.25">
      <c r="A508" s="29" t="s">
        <v>497</v>
      </c>
      <c r="B508" s="1" t="s">
        <v>82</v>
      </c>
      <c r="C508" s="15" t="s">
        <v>244</v>
      </c>
      <c r="D508" s="15">
        <v>280</v>
      </c>
      <c r="E508" s="23">
        <v>2.048</v>
      </c>
    </row>
    <row r="509" spans="1:5" x14ac:dyDescent="0.25">
      <c r="A509" s="29" t="s">
        <v>497</v>
      </c>
      <c r="B509" s="1" t="s">
        <v>82</v>
      </c>
      <c r="C509" s="15" t="s">
        <v>244</v>
      </c>
      <c r="D509" s="15">
        <v>300</v>
      </c>
      <c r="E509" s="23">
        <f>1.744-1.102</f>
        <v>0.6419999999999999</v>
      </c>
    </row>
    <row r="510" spans="1:5" x14ac:dyDescent="0.25">
      <c r="A510" s="29" t="s">
        <v>497</v>
      </c>
      <c r="B510" s="1" t="s">
        <v>82</v>
      </c>
      <c r="C510" s="15" t="s">
        <v>244</v>
      </c>
      <c r="D510" s="15">
        <v>380</v>
      </c>
      <c r="E510" s="23">
        <f>3.5-2.218-0.02-0.478</f>
        <v>0.78400000000000003</v>
      </c>
    </row>
    <row r="511" spans="1:5" x14ac:dyDescent="0.25">
      <c r="A511" s="29" t="s">
        <v>497</v>
      </c>
      <c r="B511" s="1" t="s">
        <v>82</v>
      </c>
      <c r="C511" s="1" t="s">
        <v>276</v>
      </c>
      <c r="D511" s="15" t="s">
        <v>308</v>
      </c>
      <c r="E511" s="23">
        <f>1.112-0.195-0.054-0.2</f>
        <v>0.66300000000000003</v>
      </c>
    </row>
    <row r="512" spans="1:5" x14ac:dyDescent="0.25">
      <c r="A512" s="29" t="s">
        <v>497</v>
      </c>
      <c r="B512" s="1" t="s">
        <v>82</v>
      </c>
      <c r="C512" s="1" t="s">
        <v>465</v>
      </c>
      <c r="D512" s="15" t="s">
        <v>444</v>
      </c>
      <c r="E512" s="23">
        <f>0.43</f>
        <v>0.43</v>
      </c>
    </row>
    <row r="513" spans="1:5" x14ac:dyDescent="0.25">
      <c r="A513" s="29" t="s">
        <v>497</v>
      </c>
      <c r="B513" s="1" t="s">
        <v>82</v>
      </c>
      <c r="C513" s="1" t="s">
        <v>465</v>
      </c>
      <c r="D513" s="15" t="s">
        <v>444</v>
      </c>
      <c r="E513" s="23">
        <f>0.226</f>
        <v>0.22600000000000001</v>
      </c>
    </row>
    <row r="514" spans="1:5" x14ac:dyDescent="0.25">
      <c r="A514" s="29" t="s">
        <v>497</v>
      </c>
      <c r="B514" s="1" t="s">
        <v>82</v>
      </c>
      <c r="C514" s="1" t="s">
        <v>465</v>
      </c>
      <c r="D514" s="15" t="s">
        <v>444</v>
      </c>
      <c r="E514" s="23">
        <f>0.236</f>
        <v>0.23599999999999999</v>
      </c>
    </row>
    <row r="515" spans="1:5" x14ac:dyDescent="0.25">
      <c r="A515" s="29" t="s">
        <v>497</v>
      </c>
      <c r="B515" s="1" t="s">
        <v>82</v>
      </c>
      <c r="C515" s="1" t="s">
        <v>84</v>
      </c>
      <c r="D515" s="15" t="s">
        <v>83</v>
      </c>
      <c r="E515" s="23">
        <f>0.256-0.022</f>
        <v>0.23400000000000001</v>
      </c>
    </row>
    <row r="516" spans="1:5" x14ac:dyDescent="0.25">
      <c r="A516" s="29" t="s">
        <v>497</v>
      </c>
      <c r="B516" s="1" t="s">
        <v>82</v>
      </c>
      <c r="C516" s="1" t="s">
        <v>276</v>
      </c>
      <c r="D516" s="15" t="s">
        <v>275</v>
      </c>
      <c r="E516" s="23">
        <f>0.22</f>
        <v>0.22</v>
      </c>
    </row>
    <row r="517" spans="1:5" x14ac:dyDescent="0.25">
      <c r="A517" s="29" t="s">
        <v>497</v>
      </c>
      <c r="B517" s="1" t="s">
        <v>82</v>
      </c>
      <c r="C517" s="1" t="s">
        <v>276</v>
      </c>
      <c r="D517" s="15" t="s">
        <v>428</v>
      </c>
      <c r="E517" s="23">
        <f>0.237-0.082</f>
        <v>0.15499999999999997</v>
      </c>
    </row>
    <row r="518" spans="1:5" x14ac:dyDescent="0.25">
      <c r="A518" s="29" t="s">
        <v>497</v>
      </c>
      <c r="B518" s="1" t="s">
        <v>82</v>
      </c>
      <c r="C518" s="1" t="s">
        <v>276</v>
      </c>
      <c r="D518" s="15" t="s">
        <v>428</v>
      </c>
      <c r="E518" s="23">
        <v>0.49399999999999999</v>
      </c>
    </row>
    <row r="519" spans="1:5" x14ac:dyDescent="0.25">
      <c r="A519" s="29" t="s">
        <v>497</v>
      </c>
      <c r="B519" s="1" t="s">
        <v>82</v>
      </c>
      <c r="C519" s="1" t="s">
        <v>276</v>
      </c>
      <c r="D519" s="15" t="s">
        <v>260</v>
      </c>
      <c r="E519" s="23">
        <f>3.086-0.774-0.066-0.328-0.338-0.758</f>
        <v>0.82199999999999984</v>
      </c>
    </row>
    <row r="520" spans="1:5" x14ac:dyDescent="0.25">
      <c r="A520" s="29" t="s">
        <v>497</v>
      </c>
      <c r="B520" s="1" t="s">
        <v>82</v>
      </c>
      <c r="C520" s="1" t="s">
        <v>276</v>
      </c>
      <c r="D520" s="15" t="s">
        <v>289</v>
      </c>
      <c r="E520" s="23">
        <f>0.92-0.126</f>
        <v>0.79400000000000004</v>
      </c>
    </row>
    <row r="521" spans="1:5" x14ac:dyDescent="0.25">
      <c r="A521" s="29" t="s">
        <v>497</v>
      </c>
      <c r="B521" s="1" t="s">
        <v>82</v>
      </c>
      <c r="C521" s="1" t="s">
        <v>276</v>
      </c>
      <c r="D521" s="15" t="s">
        <v>290</v>
      </c>
      <c r="E521" s="23">
        <f>0.746-0.146-0.046</f>
        <v>0.55399999999999994</v>
      </c>
    </row>
    <row r="522" spans="1:5" x14ac:dyDescent="0.25">
      <c r="A522" s="29" t="s">
        <v>497</v>
      </c>
      <c r="B522" s="1" t="s">
        <v>82</v>
      </c>
      <c r="C522" s="1" t="s">
        <v>276</v>
      </c>
      <c r="D522" s="15" t="s">
        <v>291</v>
      </c>
      <c r="E522" s="23">
        <f>1.152</f>
        <v>1.1519999999999999</v>
      </c>
    </row>
    <row r="523" spans="1:5" x14ac:dyDescent="0.25">
      <c r="A523" s="29" t="s">
        <v>497</v>
      </c>
      <c r="B523" s="1" t="s">
        <v>82</v>
      </c>
      <c r="C523" s="1" t="s">
        <v>276</v>
      </c>
      <c r="D523" s="15" t="s">
        <v>340</v>
      </c>
      <c r="E523" s="23">
        <v>1.3340000000000001</v>
      </c>
    </row>
    <row r="524" spans="1:5" x14ac:dyDescent="0.25">
      <c r="A524" s="29" t="s">
        <v>497</v>
      </c>
      <c r="B524" s="1" t="s">
        <v>82</v>
      </c>
      <c r="C524" s="1" t="s">
        <v>276</v>
      </c>
      <c r="D524" s="15" t="s">
        <v>295</v>
      </c>
      <c r="E524" s="23">
        <f>1.652-0.79</f>
        <v>0.86199999999999988</v>
      </c>
    </row>
    <row r="525" spans="1:5" x14ac:dyDescent="0.25">
      <c r="A525" s="29" t="s">
        <v>501</v>
      </c>
      <c r="B525" s="1" t="s">
        <v>82</v>
      </c>
      <c r="C525" s="15" t="s">
        <v>244</v>
      </c>
      <c r="D525" s="15" t="s">
        <v>277</v>
      </c>
      <c r="E525" s="23">
        <f>0.26</f>
        <v>0.26</v>
      </c>
    </row>
    <row r="526" spans="1:5" hidden="1" x14ac:dyDescent="0.25">
      <c r="A526" s="29" t="s">
        <v>162</v>
      </c>
      <c r="B526" s="15" t="s">
        <v>98</v>
      </c>
      <c r="C526" s="15" t="s">
        <v>168</v>
      </c>
      <c r="D526" s="15" t="s">
        <v>188</v>
      </c>
      <c r="E526" s="23">
        <v>0.1</v>
      </c>
    </row>
    <row r="527" spans="1:5" hidden="1" x14ac:dyDescent="0.25">
      <c r="A527" s="29" t="s">
        <v>162</v>
      </c>
      <c r="B527" s="15" t="s">
        <v>98</v>
      </c>
      <c r="C527" s="15" t="s">
        <v>168</v>
      </c>
      <c r="D527" s="15" t="s">
        <v>173</v>
      </c>
      <c r="E527" s="23">
        <f>0.2-0.05</f>
        <v>0.15000000000000002</v>
      </c>
    </row>
    <row r="528" spans="1:5" hidden="1" x14ac:dyDescent="0.25">
      <c r="A528" s="29" t="s">
        <v>162</v>
      </c>
      <c r="B528" s="15" t="s">
        <v>98</v>
      </c>
      <c r="C528" s="15" t="s">
        <v>168</v>
      </c>
      <c r="D528" s="15" t="s">
        <v>171</v>
      </c>
      <c r="E528" s="23">
        <f>0.05+0.06</f>
        <v>0.11</v>
      </c>
    </row>
    <row r="529" spans="1:5" hidden="1" x14ac:dyDescent="0.25">
      <c r="A529" s="29" t="s">
        <v>162</v>
      </c>
      <c r="B529" s="15" t="s">
        <v>98</v>
      </c>
      <c r="C529" s="15" t="s">
        <v>168</v>
      </c>
      <c r="D529" s="15" t="s">
        <v>172</v>
      </c>
      <c r="E529" s="23">
        <f>0.06</f>
        <v>0.06</v>
      </c>
    </row>
    <row r="530" spans="1:5" hidden="1" x14ac:dyDescent="0.25">
      <c r="A530" s="29" t="s">
        <v>162</v>
      </c>
      <c r="B530" s="15" t="s">
        <v>98</v>
      </c>
      <c r="C530" s="15" t="s">
        <v>168</v>
      </c>
      <c r="D530" s="15" t="s">
        <v>177</v>
      </c>
      <c r="E530" s="23">
        <v>1.4999999999999999E-2</v>
      </c>
    </row>
    <row r="531" spans="1:5" hidden="1" x14ac:dyDescent="0.25">
      <c r="A531" s="29" t="s">
        <v>162</v>
      </c>
      <c r="B531" s="15" t="s">
        <v>98</v>
      </c>
      <c r="C531" s="15" t="s">
        <v>168</v>
      </c>
      <c r="D531" s="15" t="s">
        <v>177</v>
      </c>
      <c r="E531" s="23">
        <v>0.1</v>
      </c>
    </row>
    <row r="532" spans="1:5" hidden="1" x14ac:dyDescent="0.25">
      <c r="A532" s="29" t="s">
        <v>162</v>
      </c>
      <c r="B532" s="15" t="s">
        <v>98</v>
      </c>
      <c r="C532" s="15" t="s">
        <v>198</v>
      </c>
      <c r="D532" s="15">
        <v>35</v>
      </c>
      <c r="E532" s="23">
        <v>0.2</v>
      </c>
    </row>
    <row r="533" spans="1:5" hidden="1" x14ac:dyDescent="0.25">
      <c r="A533" s="29" t="s">
        <v>162</v>
      </c>
      <c r="B533" s="15" t="s">
        <v>98</v>
      </c>
      <c r="C533" s="15" t="s">
        <v>198</v>
      </c>
      <c r="D533" s="15">
        <v>45</v>
      </c>
      <c r="E533" s="23">
        <v>0.189</v>
      </c>
    </row>
    <row r="534" spans="1:5" hidden="1" x14ac:dyDescent="0.25">
      <c r="A534" s="29" t="s">
        <v>162</v>
      </c>
      <c r="B534" s="15" t="s">
        <v>160</v>
      </c>
      <c r="C534" s="15" t="s">
        <v>168</v>
      </c>
      <c r="D534" s="15" t="s">
        <v>185</v>
      </c>
      <c r="E534" s="23">
        <v>0.09</v>
      </c>
    </row>
    <row r="535" spans="1:5" hidden="1" x14ac:dyDescent="0.25">
      <c r="A535" s="29" t="s">
        <v>162</v>
      </c>
      <c r="B535" s="15" t="s">
        <v>160</v>
      </c>
      <c r="C535" s="15" t="s">
        <v>168</v>
      </c>
      <c r="D535" s="15" t="s">
        <v>186</v>
      </c>
      <c r="E535" s="23">
        <v>0.11</v>
      </c>
    </row>
    <row r="536" spans="1:5" hidden="1" x14ac:dyDescent="0.25">
      <c r="A536" s="29" t="s">
        <v>162</v>
      </c>
      <c r="B536" s="15" t="s">
        <v>160</v>
      </c>
      <c r="C536" s="15" t="s">
        <v>168</v>
      </c>
      <c r="D536" s="15" t="s">
        <v>187</v>
      </c>
      <c r="E536" s="23">
        <v>0.129</v>
      </c>
    </row>
    <row r="537" spans="1:5" hidden="1" x14ac:dyDescent="0.25">
      <c r="A537" s="29" t="s">
        <v>162</v>
      </c>
      <c r="B537" s="15" t="s">
        <v>160</v>
      </c>
      <c r="C537" s="15" t="s">
        <v>168</v>
      </c>
      <c r="D537" s="15" t="s">
        <v>172</v>
      </c>
      <c r="E537" s="23">
        <v>0.05</v>
      </c>
    </row>
    <row r="538" spans="1:5" hidden="1" x14ac:dyDescent="0.25">
      <c r="A538" s="29" t="s">
        <v>162</v>
      </c>
      <c r="B538" s="15" t="s">
        <v>160</v>
      </c>
      <c r="C538" s="15" t="s">
        <v>168</v>
      </c>
      <c r="D538" s="15" t="s">
        <v>174</v>
      </c>
      <c r="E538" s="23">
        <f>0.15-0.05-0.049</f>
        <v>5.099999999999999E-2</v>
      </c>
    </row>
    <row r="539" spans="1:5" hidden="1" x14ac:dyDescent="0.25">
      <c r="A539" s="29" t="s">
        <v>162</v>
      </c>
      <c r="B539" s="4" t="s">
        <v>74</v>
      </c>
      <c r="C539" s="15" t="s">
        <v>168</v>
      </c>
      <c r="D539" s="15" t="s">
        <v>243</v>
      </c>
      <c r="E539" s="23">
        <v>0.05</v>
      </c>
    </row>
    <row r="540" spans="1:5" hidden="1" x14ac:dyDescent="0.25">
      <c r="A540" s="29" t="s">
        <v>162</v>
      </c>
      <c r="B540" s="4" t="s">
        <v>74</v>
      </c>
      <c r="C540" s="15" t="s">
        <v>168</v>
      </c>
      <c r="D540" s="15" t="s">
        <v>188</v>
      </c>
      <c r="E540" s="23">
        <f>0.103</f>
        <v>0.10299999999999999</v>
      </c>
    </row>
    <row r="541" spans="1:5" hidden="1" x14ac:dyDescent="0.25">
      <c r="A541" s="29" t="s">
        <v>162</v>
      </c>
      <c r="B541" s="4" t="s">
        <v>74</v>
      </c>
      <c r="C541" s="15" t="s">
        <v>168</v>
      </c>
      <c r="D541" s="15" t="s">
        <v>171</v>
      </c>
      <c r="E541" s="23">
        <f>0.15-0.05-0.02</f>
        <v>7.9999999999999988E-2</v>
      </c>
    </row>
    <row r="542" spans="1:5" hidden="1" x14ac:dyDescent="0.25">
      <c r="A542" s="29" t="s">
        <v>162</v>
      </c>
      <c r="B542" s="4" t="s">
        <v>74</v>
      </c>
      <c r="C542" s="15" t="s">
        <v>168</v>
      </c>
      <c r="D542" s="15" t="s">
        <v>169</v>
      </c>
      <c r="E542" s="23">
        <f>0.05-0.026</f>
        <v>2.4000000000000004E-2</v>
      </c>
    </row>
    <row r="543" spans="1:5" hidden="1" x14ac:dyDescent="0.25">
      <c r="A543" s="29" t="s">
        <v>162</v>
      </c>
      <c r="B543" s="4" t="s">
        <v>74</v>
      </c>
      <c r="C543" s="15" t="s">
        <v>168</v>
      </c>
      <c r="D543" s="15" t="s">
        <v>174</v>
      </c>
      <c r="E543" s="23">
        <f>0.14-0.085-0.02</f>
        <v>3.5000000000000003E-2</v>
      </c>
    </row>
    <row r="544" spans="1:5" hidden="1" x14ac:dyDescent="0.25">
      <c r="A544" s="29" t="s">
        <v>162</v>
      </c>
      <c r="B544" s="4" t="s">
        <v>74</v>
      </c>
      <c r="C544" s="15" t="s">
        <v>168</v>
      </c>
      <c r="D544" s="15" t="s">
        <v>189</v>
      </c>
      <c r="E544" s="23">
        <f>0.15-0.05-0.035</f>
        <v>6.4999999999999988E-2</v>
      </c>
    </row>
    <row r="545" spans="1:5" hidden="1" x14ac:dyDescent="0.25">
      <c r="A545" s="29" t="s">
        <v>162</v>
      </c>
      <c r="B545" s="4" t="s">
        <v>74</v>
      </c>
      <c r="C545" s="15" t="s">
        <v>168</v>
      </c>
      <c r="D545" s="15" t="s">
        <v>189</v>
      </c>
      <c r="E545" s="23">
        <v>0.14000000000000001</v>
      </c>
    </row>
    <row r="546" spans="1:5" hidden="1" x14ac:dyDescent="0.25">
      <c r="A546" s="29" t="s">
        <v>162</v>
      </c>
      <c r="B546" s="4" t="s">
        <v>74</v>
      </c>
      <c r="C546" s="15" t="s">
        <v>168</v>
      </c>
      <c r="D546" s="15" t="s">
        <v>190</v>
      </c>
      <c r="E546" s="23">
        <f>0.3-0.018-0.02</f>
        <v>0.26199999999999996</v>
      </c>
    </row>
    <row r="547" spans="1:5" hidden="1" x14ac:dyDescent="0.25">
      <c r="A547" s="29" t="s">
        <v>162</v>
      </c>
      <c r="B547" s="4" t="s">
        <v>74</v>
      </c>
      <c r="C547" s="15" t="s">
        <v>168</v>
      </c>
      <c r="D547" s="15" t="s">
        <v>191</v>
      </c>
      <c r="E547" s="23">
        <f>0.104-0.043</f>
        <v>6.0999999999999999E-2</v>
      </c>
    </row>
    <row r="548" spans="1:5" hidden="1" x14ac:dyDescent="0.25">
      <c r="A548" s="29" t="s">
        <v>162</v>
      </c>
      <c r="B548" s="4" t="s">
        <v>74</v>
      </c>
      <c r="C548" s="15" t="s">
        <v>168</v>
      </c>
      <c r="D548" s="15" t="s">
        <v>170</v>
      </c>
      <c r="E548" s="23">
        <f>0.24-0.069-0.15</f>
        <v>2.0999999999999991E-2</v>
      </c>
    </row>
    <row r="549" spans="1:5" hidden="1" x14ac:dyDescent="0.25">
      <c r="A549" s="29" t="s">
        <v>162</v>
      </c>
      <c r="B549" s="4" t="s">
        <v>74</v>
      </c>
      <c r="C549" s="15" t="s">
        <v>164</v>
      </c>
      <c r="D549" s="15">
        <v>30</v>
      </c>
      <c r="E549" s="23">
        <v>6.4000000000000001E-2</v>
      </c>
    </row>
    <row r="550" spans="1:5" hidden="1" x14ac:dyDescent="0.25">
      <c r="A550" s="29" t="s">
        <v>162</v>
      </c>
      <c r="B550" s="4" t="s">
        <v>74</v>
      </c>
      <c r="C550" s="15" t="s">
        <v>164</v>
      </c>
      <c r="D550" s="15">
        <v>12</v>
      </c>
      <c r="E550" s="23">
        <v>0.4</v>
      </c>
    </row>
    <row r="551" spans="1:5" hidden="1" x14ac:dyDescent="0.25">
      <c r="A551" s="29" t="s">
        <v>162</v>
      </c>
      <c r="B551" s="4" t="s">
        <v>74</v>
      </c>
      <c r="C551" s="15" t="s">
        <v>164</v>
      </c>
      <c r="D551" s="15">
        <v>25</v>
      </c>
      <c r="E551" s="23">
        <v>0.20100000000000001</v>
      </c>
    </row>
    <row r="552" spans="1:5" hidden="1" x14ac:dyDescent="0.25">
      <c r="A552" s="29" t="s">
        <v>162</v>
      </c>
      <c r="B552" s="4" t="s">
        <v>74</v>
      </c>
      <c r="C552" s="15" t="s">
        <v>164</v>
      </c>
      <c r="D552" s="15">
        <v>30</v>
      </c>
      <c r="E552" s="23">
        <v>2.1999999999999999E-2</v>
      </c>
    </row>
    <row r="553" spans="1:5" hidden="1" x14ac:dyDescent="0.25">
      <c r="A553" s="29" t="s">
        <v>162</v>
      </c>
      <c r="B553" s="4" t="s">
        <v>74</v>
      </c>
      <c r="C553" s="15" t="s">
        <v>164</v>
      </c>
      <c r="D553" s="15">
        <v>30</v>
      </c>
      <c r="E553" s="23">
        <v>2.5999999999999999E-2</v>
      </c>
    </row>
    <row r="554" spans="1:5" hidden="1" x14ac:dyDescent="0.25">
      <c r="A554" s="29" t="s">
        <v>162</v>
      </c>
      <c r="B554" s="4" t="s">
        <v>74</v>
      </c>
      <c r="C554" s="15" t="s">
        <v>164</v>
      </c>
      <c r="D554" s="15">
        <v>30</v>
      </c>
      <c r="E554" s="23">
        <v>0.36</v>
      </c>
    </row>
    <row r="555" spans="1:5" hidden="1" x14ac:dyDescent="0.25">
      <c r="A555" s="29" t="s">
        <v>162</v>
      </c>
      <c r="B555" s="4" t="s">
        <v>74</v>
      </c>
      <c r="C555" s="15" t="s">
        <v>164</v>
      </c>
      <c r="D555" s="15">
        <v>34</v>
      </c>
      <c r="E555" s="23">
        <v>0.33</v>
      </c>
    </row>
    <row r="556" spans="1:5" hidden="1" x14ac:dyDescent="0.25">
      <c r="A556" s="29" t="s">
        <v>162</v>
      </c>
      <c r="B556" s="4" t="s">
        <v>74</v>
      </c>
      <c r="C556" s="15" t="s">
        <v>164</v>
      </c>
      <c r="D556" s="15">
        <v>40</v>
      </c>
      <c r="E556" s="23">
        <f>0.184-0.1</f>
        <v>8.3999999999999991E-2</v>
      </c>
    </row>
    <row r="557" spans="1:5" hidden="1" x14ac:dyDescent="0.25">
      <c r="A557" s="29" t="s">
        <v>162</v>
      </c>
      <c r="B557" s="4" t="s">
        <v>74</v>
      </c>
      <c r="C557" s="15" t="s">
        <v>164</v>
      </c>
      <c r="D557" s="15">
        <v>40</v>
      </c>
      <c r="E557" s="23">
        <v>0.56399999999999995</v>
      </c>
    </row>
    <row r="558" spans="1:5" hidden="1" x14ac:dyDescent="0.25">
      <c r="A558" s="29" t="s">
        <v>162</v>
      </c>
      <c r="B558" s="4" t="s">
        <v>74</v>
      </c>
      <c r="C558" s="15" t="s">
        <v>164</v>
      </c>
      <c r="D558" s="15">
        <v>55</v>
      </c>
      <c r="E558" s="23">
        <v>0.44600000000000001</v>
      </c>
    </row>
    <row r="559" spans="1:5" hidden="1" x14ac:dyDescent="0.25">
      <c r="A559" s="29" t="s">
        <v>162</v>
      </c>
      <c r="B559" s="4" t="s">
        <v>74</v>
      </c>
      <c r="C559" s="15" t="s">
        <v>164</v>
      </c>
      <c r="D559" s="15">
        <v>56</v>
      </c>
      <c r="E559" s="23">
        <v>1.4910000000000001</v>
      </c>
    </row>
    <row r="560" spans="1:5" hidden="1" x14ac:dyDescent="0.25">
      <c r="A560" s="29" t="s">
        <v>162</v>
      </c>
      <c r="B560" s="4" t="s">
        <v>163</v>
      </c>
      <c r="C560" s="4" t="s">
        <v>164</v>
      </c>
      <c r="D560" s="15">
        <v>35</v>
      </c>
      <c r="E560" s="23">
        <v>0.108</v>
      </c>
    </row>
    <row r="561" spans="1:5" hidden="1" x14ac:dyDescent="0.25">
      <c r="A561" s="29" t="s">
        <v>162</v>
      </c>
      <c r="B561" s="4" t="s">
        <v>163</v>
      </c>
      <c r="C561" s="4" t="s">
        <v>164</v>
      </c>
      <c r="D561" s="15">
        <v>65</v>
      </c>
      <c r="E561" s="23">
        <v>0.14599999999999999</v>
      </c>
    </row>
    <row r="562" spans="1:5" hidden="1" x14ac:dyDescent="0.25">
      <c r="A562" s="29" t="s">
        <v>162</v>
      </c>
      <c r="B562" s="4" t="s">
        <v>163</v>
      </c>
      <c r="C562" s="4" t="s">
        <v>164</v>
      </c>
      <c r="D562" s="15">
        <v>170</v>
      </c>
      <c r="E562" s="24">
        <f>0.56-0.027</f>
        <v>0.53300000000000003</v>
      </c>
    </row>
    <row r="563" spans="1:5" hidden="1" x14ac:dyDescent="0.25">
      <c r="A563" s="29" t="s">
        <v>162</v>
      </c>
      <c r="B563" s="4" t="s">
        <v>421</v>
      </c>
      <c r="C563" s="4"/>
      <c r="D563" s="15">
        <v>8</v>
      </c>
      <c r="E563" s="24">
        <v>6.7000000000000002E-3</v>
      </c>
    </row>
    <row r="564" spans="1:5" hidden="1" x14ac:dyDescent="0.25">
      <c r="A564" s="29" t="s">
        <v>162</v>
      </c>
      <c r="B564" s="4" t="s">
        <v>421</v>
      </c>
      <c r="C564" s="4" t="s">
        <v>164</v>
      </c>
      <c r="D564" s="15">
        <v>30</v>
      </c>
      <c r="E564" s="24">
        <v>0.189</v>
      </c>
    </row>
    <row r="565" spans="1:5" hidden="1" x14ac:dyDescent="0.25">
      <c r="A565" s="29" t="s">
        <v>162</v>
      </c>
      <c r="B565" s="4" t="s">
        <v>421</v>
      </c>
      <c r="C565" s="4" t="s">
        <v>164</v>
      </c>
      <c r="D565" s="15">
        <v>60</v>
      </c>
      <c r="E565" s="24">
        <v>0.26400000000000001</v>
      </c>
    </row>
    <row r="566" spans="1:5" hidden="1" x14ac:dyDescent="0.25">
      <c r="A566" s="29" t="s">
        <v>162</v>
      </c>
      <c r="B566" s="4" t="s">
        <v>421</v>
      </c>
      <c r="C566" s="4" t="s">
        <v>164</v>
      </c>
      <c r="D566" s="15">
        <v>80</v>
      </c>
      <c r="E566" s="24">
        <v>0.36</v>
      </c>
    </row>
    <row r="567" spans="1:5" hidden="1" x14ac:dyDescent="0.25">
      <c r="A567" s="29" t="s">
        <v>162</v>
      </c>
      <c r="B567" s="4" t="s">
        <v>421</v>
      </c>
      <c r="C567" s="4" t="s">
        <v>164</v>
      </c>
      <c r="D567" s="15">
        <v>100</v>
      </c>
      <c r="E567" s="24">
        <v>0.36199999999999999</v>
      </c>
    </row>
    <row r="568" spans="1:5" hidden="1" x14ac:dyDescent="0.25">
      <c r="A568" s="29" t="s">
        <v>162</v>
      </c>
      <c r="B568" s="4" t="s">
        <v>18</v>
      </c>
      <c r="C568" s="4" t="s">
        <v>415</v>
      </c>
      <c r="D568" s="15">
        <v>290</v>
      </c>
      <c r="E568" s="24">
        <f>1.505</f>
        <v>1.5049999999999999</v>
      </c>
    </row>
    <row r="569" spans="1:5" hidden="1" x14ac:dyDescent="0.25">
      <c r="A569" s="29" t="s">
        <v>162</v>
      </c>
      <c r="B569" s="3" t="s">
        <v>29</v>
      </c>
      <c r="C569" s="10" t="s">
        <v>181</v>
      </c>
      <c r="D569" s="7">
        <v>16</v>
      </c>
      <c r="E569" s="25">
        <f>0.2-0.018</f>
        <v>0.18200000000000002</v>
      </c>
    </row>
    <row r="570" spans="1:5" hidden="1" x14ac:dyDescent="0.25">
      <c r="A570" s="29" t="s">
        <v>162</v>
      </c>
      <c r="B570" s="3" t="s">
        <v>29</v>
      </c>
      <c r="C570" s="10" t="s">
        <v>181</v>
      </c>
      <c r="D570" s="7">
        <v>25</v>
      </c>
      <c r="E570" s="25">
        <f>0.492-0.203</f>
        <v>0.28899999999999998</v>
      </c>
    </row>
    <row r="571" spans="1:5" hidden="1" x14ac:dyDescent="0.25">
      <c r="A571" s="29" t="s">
        <v>162</v>
      </c>
      <c r="B571" s="3" t="s">
        <v>30</v>
      </c>
      <c r="C571" s="10" t="s">
        <v>395</v>
      </c>
      <c r="D571" s="7">
        <v>65</v>
      </c>
      <c r="E571" s="25">
        <f>6.574</f>
        <v>6.5739999999999998</v>
      </c>
    </row>
    <row r="572" spans="1:5" hidden="1" x14ac:dyDescent="0.25">
      <c r="A572" s="29" t="s">
        <v>162</v>
      </c>
      <c r="B572" s="3" t="s">
        <v>367</v>
      </c>
      <c r="C572" s="10" t="s">
        <v>422</v>
      </c>
      <c r="D572" s="7">
        <v>16</v>
      </c>
      <c r="E572" s="25">
        <v>0.152</v>
      </c>
    </row>
    <row r="573" spans="1:5" hidden="1" x14ac:dyDescent="0.25">
      <c r="A573" s="29" t="s">
        <v>162</v>
      </c>
      <c r="B573" s="3" t="s">
        <v>367</v>
      </c>
      <c r="C573" s="10"/>
      <c r="D573" s="7">
        <v>120</v>
      </c>
      <c r="E573" s="25">
        <v>0.1</v>
      </c>
    </row>
    <row r="574" spans="1:5" hidden="1" x14ac:dyDescent="0.25">
      <c r="A574" s="29" t="s">
        <v>162</v>
      </c>
      <c r="B574" s="3" t="s">
        <v>180</v>
      </c>
      <c r="C574" s="10" t="s">
        <v>181</v>
      </c>
      <c r="D574" s="7">
        <v>85</v>
      </c>
      <c r="E574" s="25">
        <f>1.55-1.095-0.05</f>
        <v>0.40500000000000008</v>
      </c>
    </row>
    <row r="575" spans="1:5" hidden="1" x14ac:dyDescent="0.25">
      <c r="A575" s="29" t="s">
        <v>162</v>
      </c>
      <c r="B575" s="2" t="s">
        <v>44</v>
      </c>
      <c r="C575" s="2"/>
      <c r="D575" s="7">
        <v>6</v>
      </c>
      <c r="E575" s="27">
        <f>0.183-0.035-0.003-0.015</f>
        <v>0.13</v>
      </c>
    </row>
    <row r="576" spans="1:5" hidden="1" x14ac:dyDescent="0.25">
      <c r="A576" s="29" t="s">
        <v>162</v>
      </c>
      <c r="B576" s="2" t="s">
        <v>366</v>
      </c>
      <c r="C576" s="10" t="s">
        <v>425</v>
      </c>
      <c r="D576" s="7" t="s">
        <v>420</v>
      </c>
      <c r="E576" s="27">
        <v>0.115</v>
      </c>
    </row>
    <row r="577" spans="1:5" hidden="1" x14ac:dyDescent="0.25">
      <c r="A577" s="29" t="s">
        <v>162</v>
      </c>
      <c r="B577" s="2" t="s">
        <v>366</v>
      </c>
      <c r="C577" s="10" t="s">
        <v>181</v>
      </c>
      <c r="D577" s="7">
        <v>280</v>
      </c>
      <c r="E577" s="27">
        <f>1.064</f>
        <v>1.0640000000000001</v>
      </c>
    </row>
    <row r="578" spans="1:5" hidden="1" x14ac:dyDescent="0.25">
      <c r="A578" s="29" t="s">
        <v>162</v>
      </c>
      <c r="B578" s="2" t="s">
        <v>366</v>
      </c>
      <c r="C578" s="10" t="s">
        <v>181</v>
      </c>
      <c r="D578" s="7">
        <v>290</v>
      </c>
      <c r="E578" s="27">
        <f>1.615</f>
        <v>1.615</v>
      </c>
    </row>
    <row r="579" spans="1:5" hidden="1" x14ac:dyDescent="0.25">
      <c r="A579" s="29" t="s">
        <v>162</v>
      </c>
      <c r="B579" s="2" t="s">
        <v>366</v>
      </c>
      <c r="C579" s="10" t="s">
        <v>181</v>
      </c>
      <c r="D579" s="7">
        <v>300</v>
      </c>
      <c r="E579" s="27">
        <f>1.359</f>
        <v>1.359</v>
      </c>
    </row>
    <row r="580" spans="1:5" hidden="1" x14ac:dyDescent="0.25">
      <c r="A580" s="29" t="s">
        <v>162</v>
      </c>
      <c r="B580" s="2" t="s">
        <v>366</v>
      </c>
      <c r="C580" s="2" t="s">
        <v>414</v>
      </c>
      <c r="D580" s="7">
        <v>380</v>
      </c>
      <c r="E580" s="27">
        <f>0.928</f>
        <v>0.92800000000000005</v>
      </c>
    </row>
    <row r="581" spans="1:5" ht="15.75" thickBot="1" x14ac:dyDescent="0.3">
      <c r="A581" s="41"/>
      <c r="B581" s="42"/>
      <c r="C581" s="42"/>
      <c r="D581" s="30"/>
      <c r="E581" s="32"/>
    </row>
  </sheetData>
  <autoFilter ref="A8:F580">
    <filterColumn colId="0">
      <filters>
        <filter val="Круги"/>
      </filters>
    </filterColumn>
  </autoFilter>
  <mergeCells count="8">
    <mergeCell ref="E7:E8"/>
    <mergeCell ref="D7:D8"/>
    <mergeCell ref="A6:C6"/>
    <mergeCell ref="A7:A8"/>
    <mergeCell ref="B7:B8"/>
    <mergeCell ref="C7:C8"/>
    <mergeCell ref="A581:C58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Windows</cp:lastModifiedBy>
  <cp:lastPrinted>2019-09-05T03:08:26Z</cp:lastPrinted>
  <dcterms:created xsi:type="dcterms:W3CDTF">2010-04-30T05:40:59Z</dcterms:created>
  <dcterms:modified xsi:type="dcterms:W3CDTF">2019-11-28T07:02:37Z</dcterms:modified>
</cp:coreProperties>
</file>